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данные'!$A$6:$HW$9</definedName>
    <definedName name="Z_287B6B75_F102_4A35_99B4_72102AA4A344__wvu_FilterData" localSheetId="0">'Исходные данные'!$B$9:$F$22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данные'!$B$1:$F$19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данные'!$A$6:$HW$9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данные'!$A$1:$F$36</definedName>
    <definedName name="_xlnm.Print_Area" localSheetId="2">'Расчет дотации'!$A$1:$GN$19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K15" i="4" l="1"/>
  <c r="C16" i="2" l="1"/>
  <c r="C15" i="2"/>
  <c r="C14" i="2"/>
  <c r="C13" i="2"/>
  <c r="C12" i="2"/>
  <c r="C11" i="2"/>
  <c r="C10" i="2"/>
  <c r="C9" i="2"/>
  <c r="C8" i="2"/>
  <c r="C7" i="2"/>
  <c r="D19" i="4" l="1"/>
  <c r="GM19" i="4" l="1"/>
  <c r="E35" i="1" l="1"/>
  <c r="F35" i="1"/>
  <c r="D14" i="2" l="1"/>
  <c r="E14" i="2" s="1"/>
  <c r="D10" i="2"/>
  <c r="E10" i="2" s="1"/>
  <c r="D13" i="2"/>
  <c r="E13" i="2" s="1"/>
  <c r="D9" i="2"/>
  <c r="E9" i="2" s="1"/>
  <c r="D16" i="2"/>
  <c r="E16" i="2" s="1"/>
  <c r="D12" i="2"/>
  <c r="E12" i="2" s="1"/>
  <c r="D8" i="2"/>
  <c r="E8" i="2" s="1"/>
  <c r="D15" i="2"/>
  <c r="E15" i="2" s="1"/>
  <c r="D11" i="2"/>
  <c r="E11" i="2" s="1"/>
  <c r="D7" i="2"/>
  <c r="E7" i="2" s="1"/>
  <c r="D35" i="1"/>
  <c r="C35" i="1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I11" i="4" l="1"/>
  <c r="I12" i="4"/>
  <c r="I18" i="4"/>
  <c r="I10" i="4"/>
  <c r="I9" i="4"/>
  <c r="I13" i="4"/>
  <c r="I14" i="4"/>
  <c r="I16" i="4"/>
  <c r="I15" i="4"/>
  <c r="I17" i="4"/>
  <c r="E19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H9" i="4"/>
  <c r="B6" i="2"/>
  <c r="C6" i="2" s="1"/>
  <c r="G19" i="4" l="1"/>
  <c r="L9" i="4" s="1"/>
  <c r="H19" i="4"/>
  <c r="L7" i="4"/>
  <c r="F19" i="4"/>
  <c r="M7" i="4" l="1"/>
  <c r="N7" i="4" s="1"/>
  <c r="O7" i="4" s="1"/>
  <c r="P7" i="4" s="1"/>
  <c r="Q7" i="4" s="1"/>
  <c r="R7" i="4" s="1"/>
  <c r="S7" i="4" s="1"/>
  <c r="J19" i="4"/>
  <c r="M9" i="4" s="1"/>
  <c r="K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M14" i="4" l="1"/>
  <c r="L19" i="4"/>
  <c r="T7" i="4"/>
  <c r="U7" i="4" s="1"/>
  <c r="V7" i="4" s="1"/>
  <c r="W7" i="4" s="1"/>
  <c r="X7" i="4" s="1"/>
  <c r="Y7" i="4" s="1"/>
  <c r="M17" i="4"/>
  <c r="M10" i="4"/>
  <c r="M18" i="4"/>
  <c r="M16" i="4"/>
  <c r="M13" i="4"/>
  <c r="M11" i="4"/>
  <c r="M12" i="4"/>
  <c r="M15" i="4"/>
  <c r="N19" i="4" l="1"/>
  <c r="O14" i="4" s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P14" i="4"/>
  <c r="O18" i="4"/>
  <c r="P18" i="4" s="1"/>
  <c r="O10" i="4"/>
  <c r="P10" i="4" s="1"/>
  <c r="O9" i="4"/>
  <c r="P9" i="4" s="1"/>
  <c r="P19" i="4" l="1"/>
  <c r="Q9" i="4" s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GM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C18" i="4"/>
  <c r="AC13" i="4"/>
  <c r="AC10" i="4"/>
  <c r="AC16" i="4"/>
  <c r="AC11" i="4"/>
  <c r="AC19" i="4" l="1"/>
  <c r="AF16" i="4"/>
  <c r="AF9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H18" i="4" s="1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6" i="4" l="1"/>
  <c r="CN16" i="4" s="1"/>
  <c r="CK13" i="4"/>
  <c r="CK10" i="4"/>
  <c r="CN10" i="4" s="1"/>
  <c r="CK11" i="4"/>
  <c r="CN11" i="4" s="1"/>
  <c r="CK17" i="4"/>
  <c r="CN17" i="4" s="1"/>
  <c r="CK18" i="4"/>
  <c r="CN18" i="4" s="1"/>
  <c r="CK14" i="4"/>
  <c r="CN14" i="4" s="1"/>
  <c r="CK15" i="4"/>
  <c r="CN15" i="4" s="1"/>
  <c r="CK12" i="4"/>
  <c r="CN12" i="4" s="1"/>
  <c r="CN13" i="4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2" i="4" l="1"/>
  <c r="CT12" i="4" s="1"/>
  <c r="CQ18" i="4"/>
  <c r="CT18" i="4" s="1"/>
  <c r="CQ15" i="4"/>
  <c r="CT15" i="4" s="1"/>
  <c r="CQ13" i="4"/>
  <c r="CT13" i="4" s="1"/>
  <c r="CQ11" i="4"/>
  <c r="CT11" i="4" s="1"/>
  <c r="CQ9" i="4"/>
  <c r="CT9" i="4" s="1"/>
  <c r="CQ10" i="4"/>
  <c r="CT10" i="4" s="1"/>
  <c r="CQ14" i="4"/>
  <c r="CT14" i="4" s="1"/>
  <c r="CQ16" i="4"/>
  <c r="CT16" i="4" s="1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1" i="4" l="1"/>
  <c r="CZ11" i="4" s="1"/>
  <c r="CW13" i="4"/>
  <c r="CZ13" i="4" s="1"/>
  <c r="CW10" i="4"/>
  <c r="CZ10" i="4" s="1"/>
  <c r="CW12" i="4"/>
  <c r="CZ12" i="4" s="1"/>
  <c r="CW14" i="4"/>
  <c r="CZ14" i="4" s="1"/>
  <c r="CW15" i="4"/>
  <c r="CZ15" i="4" s="1"/>
  <c r="CW18" i="4"/>
  <c r="CZ18" i="4" s="1"/>
  <c r="CW16" i="4"/>
  <c r="CZ16" i="4" s="1"/>
  <c r="CW17" i="4"/>
  <c r="CZ17" i="4" s="1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2" i="4" l="1"/>
  <c r="DL12" i="4" s="1"/>
  <c r="DI13" i="4"/>
  <c r="DL13" i="4" s="1"/>
  <c r="DI16" i="4"/>
  <c r="DL16" i="4" s="1"/>
  <c r="DI14" i="4"/>
  <c r="DL14" i="4" s="1"/>
  <c r="DI10" i="4"/>
  <c r="DL10" i="4" s="1"/>
  <c r="DI11" i="4"/>
  <c r="DL11" i="4" s="1"/>
  <c r="DI17" i="4"/>
  <c r="DL17" i="4" s="1"/>
  <c r="DI18" i="4"/>
  <c r="DL18" i="4" s="1"/>
  <c r="DI9" i="4"/>
  <c r="DL9" i="4" s="1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6" i="4" l="1"/>
  <c r="DR16" i="4" s="1"/>
  <c r="DO15" i="4"/>
  <c r="DO18" i="4"/>
  <c r="DR18" i="4" s="1"/>
  <c r="DO17" i="4"/>
  <c r="DR17" i="4" s="1"/>
  <c r="DO14" i="4"/>
  <c r="DR14" i="4" s="1"/>
  <c r="DO9" i="4"/>
  <c r="DR9" i="4" s="1"/>
  <c r="DO12" i="4"/>
  <c r="DR12" i="4" s="1"/>
  <c r="DO11" i="4"/>
  <c r="DR11" i="4" s="1"/>
  <c r="DO10" i="4"/>
  <c r="DR10" i="4" s="1"/>
  <c r="DR15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7" i="4" l="1"/>
  <c r="DX17" i="4" s="1"/>
  <c r="DU16" i="4"/>
  <c r="DX16" i="4" s="1"/>
  <c r="DU15" i="4"/>
  <c r="DX15" i="4" s="1"/>
  <c r="DU12" i="4"/>
  <c r="DX12" i="4" s="1"/>
  <c r="DU18" i="4"/>
  <c r="DX18" i="4" s="1"/>
  <c r="DU14" i="4"/>
  <c r="DX14" i="4" s="1"/>
  <c r="DU10" i="4"/>
  <c r="DX10" i="4" s="1"/>
  <c r="DU13" i="4"/>
  <c r="DX13" i="4" s="1"/>
  <c r="DU9" i="4"/>
  <c r="DX9" i="4" s="1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5" i="4" s="1"/>
  <c r="EV15" i="4" s="1"/>
  <c r="ES16" i="4" l="1"/>
  <c r="EV16" i="4" s="1"/>
  <c r="ES11" i="4"/>
  <c r="EV11" i="4" s="1"/>
  <c r="ES14" i="4"/>
  <c r="EV14" i="4" s="1"/>
  <c r="ES13" i="4"/>
  <c r="EV13" i="4" s="1"/>
  <c r="ES17" i="4"/>
  <c r="EV17" i="4" s="1"/>
  <c r="ES9" i="4"/>
  <c r="ES18" i="4"/>
  <c r="EV18" i="4" s="1"/>
  <c r="ES12" i="4"/>
  <c r="EV12" i="4" s="1"/>
  <c r="ES10" i="4"/>
  <c r="EV10" i="4" s="1"/>
  <c r="EV9" i="4" l="1"/>
  <c r="EU19" i="4" s="1"/>
  <c r="EW13" i="4" s="1"/>
  <c r="ES19" i="4"/>
  <c r="ET19" i="4" s="1"/>
  <c r="EX13" i="4" l="1"/>
  <c r="EW15" i="4"/>
  <c r="EX15" i="4" s="1"/>
  <c r="EW14" i="4"/>
  <c r="EX14" i="4" s="1"/>
  <c r="EW17" i="4"/>
  <c r="EX17" i="4" s="1"/>
  <c r="EW11" i="4"/>
  <c r="EX11" i="4" s="1"/>
  <c r="EW18" i="4"/>
  <c r="EX18" i="4" s="1"/>
  <c r="EW12" i="4"/>
  <c r="EX12" i="4" s="1"/>
  <c r="EW9" i="4"/>
  <c r="EX9" i="4" s="1"/>
  <c r="EW16" i="4"/>
  <c r="EX16" i="4" s="1"/>
  <c r="EW10" i="4"/>
  <c r="EX10" i="4" s="1"/>
  <c r="EX19" i="4" l="1"/>
  <c r="EY13" i="4" s="1"/>
  <c r="EY18" i="4" l="1"/>
  <c r="FB18" i="4" s="1"/>
  <c r="EY17" i="4"/>
  <c r="FB17" i="4" s="1"/>
  <c r="EY10" i="4"/>
  <c r="FB10" i="4" s="1"/>
  <c r="EY15" i="4"/>
  <c r="FB15" i="4" s="1"/>
  <c r="EY9" i="4"/>
  <c r="FB9" i="4" s="1"/>
  <c r="EY14" i="4"/>
  <c r="FB14" i="4" s="1"/>
  <c r="EY11" i="4"/>
  <c r="FB11" i="4" s="1"/>
  <c r="EY16" i="4"/>
  <c r="FB16" i="4" s="1"/>
  <c r="EY12" i="4"/>
  <c r="FB12" i="4" s="1"/>
  <c r="FB13" i="4"/>
  <c r="EY19" i="4" l="1"/>
  <c r="EZ19" i="4" s="1"/>
  <c r="FA19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6" i="4" l="1"/>
  <c r="GF16" i="4" s="1"/>
  <c r="GC18" i="4"/>
  <c r="GF18" i="4" s="1"/>
  <c r="GC14" i="4"/>
  <c r="GF14" i="4" s="1"/>
  <c r="GC17" i="4"/>
  <c r="GF17" i="4" s="1"/>
  <c r="GC10" i="4"/>
  <c r="GF10" i="4" s="1"/>
  <c r="GC9" i="4"/>
  <c r="GF9" i="4" s="1"/>
  <c r="GC11" i="4"/>
  <c r="GF11" i="4" s="1"/>
  <c r="GC13" i="4"/>
  <c r="GF13" i="4" s="1"/>
  <c r="GC15" i="4"/>
  <c r="GF15" i="4" s="1"/>
  <c r="GF12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8" i="4" s="1"/>
  <c r="GJ18" i="4" s="1"/>
  <c r="GK18" i="4" s="1"/>
  <c r="GN18" i="4" s="1"/>
  <c r="GL18" i="4" l="1"/>
  <c r="GI13" i="4"/>
  <c r="GJ13" i="4" s="1"/>
  <c r="GK13" i="4" s="1"/>
  <c r="GN13" i="4" s="1"/>
  <c r="GI10" i="4"/>
  <c r="GJ10" i="4" s="1"/>
  <c r="GK10" i="4" s="1"/>
  <c r="GN10" i="4" s="1"/>
  <c r="GI9" i="4"/>
  <c r="GJ9" i="4" s="1"/>
  <c r="GI11" i="4"/>
  <c r="GJ11" i="4" s="1"/>
  <c r="GK11" i="4" s="1"/>
  <c r="GN11" i="4" s="1"/>
  <c r="GI15" i="4"/>
  <c r="GJ15" i="4" s="1"/>
  <c r="GN15" i="4" s="1"/>
  <c r="GI17" i="4"/>
  <c r="GJ17" i="4" s="1"/>
  <c r="GK17" i="4" s="1"/>
  <c r="GN17" i="4" s="1"/>
  <c r="GI16" i="4"/>
  <c r="GJ16" i="4" s="1"/>
  <c r="GK16" i="4" s="1"/>
  <c r="GN16" i="4" s="1"/>
  <c r="GI12" i="4"/>
  <c r="GJ12" i="4" s="1"/>
  <c r="GI14" i="4"/>
  <c r="GJ14" i="4" s="1"/>
  <c r="GK14" i="4" s="1"/>
  <c r="GN14" i="4" s="1"/>
  <c r="GK12" i="4" l="1"/>
  <c r="GN12" i="4" s="1"/>
  <c r="GL17" i="4"/>
  <c r="GL10" i="4"/>
  <c r="GL14" i="4"/>
  <c r="GL13" i="4"/>
  <c r="GL15" i="4"/>
  <c r="GL11" i="4"/>
  <c r="GL16" i="4"/>
  <c r="GI19" i="4"/>
  <c r="GK9" i="4"/>
  <c r="GN9" i="4" s="1"/>
  <c r="GJ19" i="4"/>
  <c r="GK19" i="4" s="1"/>
  <c r="GL12" i="4" l="1"/>
  <c r="GL9" i="4"/>
  <c r="GN19" i="4"/>
</calcChain>
</file>

<file path=xl/sharedStrings.xml><?xml version="1.0" encoding="utf-8"?>
<sst xmlns="http://schemas.openxmlformats.org/spreadsheetml/2006/main" count="1393" uniqueCount="201">
  <si>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</si>
  <si>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</si>
  <si>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</si>
  <si>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</si>
  <si>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</si>
  <si>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</si>
  <si>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</si>
  <si>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</si>
  <si>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</si>
  <si>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</si>
  <si>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</si>
  <si>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</si>
  <si>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</si>
  <si>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</si>
  <si>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</si>
  <si>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</si>
  <si>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</si>
  <si>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</si>
  <si>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</si>
  <si>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</si>
  <si>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</si>
  <si>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</si>
  <si>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</si>
  <si>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</si>
  <si>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</si>
  <si>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</si>
  <si>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</si>
  <si>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</si>
  <si>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</si>
  <si>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</si>
  <si>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</si>
  <si>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</si>
  <si>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</si>
  <si>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</si>
  <si>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</si>
  <si>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</si>
  <si>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</si>
  <si>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</si>
  <si>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</si>
  <si>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</si>
  <si>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</si>
  <si>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</si>
  <si>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</si>
  <si>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</si>
  <si>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</si>
  <si>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</si>
  <si>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</si>
  <si>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</si>
  <si>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</si>
  <si>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</si>
  <si>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</si>
  <si>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</si>
  <si>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</si>
  <si>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</si>
  <si>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</si>
  <si>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</si>
  <si>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</si>
  <si>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</si>
  <si>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</si>
  <si>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</si>
  <si>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</si>
  <si>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</si>
  <si>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</si>
  <si>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</si>
  <si>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</si>
  <si>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</si>
  <si>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</si>
  <si>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</si>
  <si>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</si>
  <si>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</si>
  <si>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</si>
  <si>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</si>
  <si>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</si>
  <si>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</si>
  <si>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</si>
  <si>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</si>
  <si>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</si>
  <si>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</si>
  <si>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</si>
  <si>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</si>
  <si>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</si>
  <si>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</si>
  <si>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</si>
  <si>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</si>
  <si>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</si>
  <si>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</si>
  <si>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</si>
  <si>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</si>
  <si>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</si>
  <si>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</si>
  <si>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</si>
  <si>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</si>
  <si>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</si>
  <si>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</si>
  <si>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</si>
  <si>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</si>
  <si>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</si>
  <si>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</si>
  <si>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</si>
  <si>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</si>
  <si>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</si>
  <si>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</si>
  <si>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</si>
  <si>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</si>
  <si>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</si>
  <si>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</si>
  <si>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</si>
  <si>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</si>
  <si>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</si>
  <si>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</si>
  <si>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</si>
  <si>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</si>
  <si>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</si>
  <si>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</si>
  <si>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</si>
  <si>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</si>
  <si>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</si>
  <si>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</si>
  <si>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</si>
  <si>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</si>
  <si>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</si>
  <si>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</si>
  <si>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</si>
  <si>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</si>
  <si>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</si>
  <si>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</si>
  <si>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</si>
  <si>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</si>
  <si>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</si>
  <si>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</si>
  <si>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</si>
  <si>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</si>
  <si>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</si>
  <si>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</si>
  <si>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</si>
  <si>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</si>
  <si>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</si>
  <si>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</si>
  <si>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</si>
  <si>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</si>
  <si>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</si>
  <si>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</si>
  <si>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</si>
  <si>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</si>
  <si>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</si>
  <si>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</si>
  <si>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</si>
  <si>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</si>
  <si>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</si>
  <si>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</si>
  <si>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</si>
  <si>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</si>
  <si>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</si>
  <si>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</si>
  <si>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</si>
  <si>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</si>
  <si>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</si>
  <si>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</si>
  <si>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</si>
  <si>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</si>
  <si>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</si>
  <si>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</si>
  <si>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</si>
  <si>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</si>
  <si>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</si>
  <si>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</si>
  <si>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</si>
  <si>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</si>
  <si>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</si>
  <si>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</si>
  <si>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Боголюбовское сельское поселение</t>
  </si>
  <si>
    <t>Васильевское сельское поселение</t>
  </si>
  <si>
    <t>Грибановское сельское поселение</t>
  </si>
  <si>
    <t>Заринское сельское поселение</t>
  </si>
  <si>
    <t>Москаленское сельское поселение</t>
  </si>
  <si>
    <t>Орловское сельское поселение</t>
  </si>
  <si>
    <t>Пикетинское сельское поселение</t>
  </si>
  <si>
    <t>Степнинское сельское поселение</t>
  </si>
  <si>
    <t>Шараповское сельское поселение</t>
  </si>
  <si>
    <t>Марьяновское городское поселение</t>
  </si>
  <si>
    <t>кв.км</t>
  </si>
  <si>
    <t>км</t>
  </si>
  <si>
    <t>Итого:</t>
  </si>
  <si>
    <t xml:space="preserve">Численность постоянного населения </t>
  </si>
  <si>
    <t>Численность постоянного населения на начало текущего года</t>
  </si>
  <si>
    <t>Выравнивание исходя из численности постоянного населения</t>
  </si>
  <si>
    <r>
      <t>К</t>
    </r>
    <r>
      <rPr>
        <i/>
        <sz val="8"/>
        <rFont val="Times New Roman"/>
        <family val="1"/>
        <charset val="204"/>
      </rPr>
      <t>1
Коэффициент п</t>
    </r>
    <r>
      <rPr>
        <i/>
        <sz val="9"/>
        <rFont val="Times New Roman"/>
        <family val="1"/>
        <charset val="204"/>
      </rPr>
      <t>лощади поселений</t>
    </r>
  </si>
  <si>
    <r>
      <t>К</t>
    </r>
    <r>
      <rPr>
        <i/>
        <sz val="8"/>
        <rFont val="Times New Roman"/>
        <family val="1"/>
        <charset val="204"/>
      </rPr>
      <t xml:space="preserve">2
Коффициент </t>
    </r>
    <r>
      <rPr>
        <i/>
        <sz val="9"/>
        <rFont val="Times New Roman"/>
        <family val="1"/>
        <charset val="204"/>
      </rPr>
      <t>протяженности автомобильных дорог</t>
    </r>
  </si>
  <si>
    <t>на 01.01.2022</t>
  </si>
  <si>
    <t>Si
площадь поселений по состоянию на 01.01.2022</t>
  </si>
  <si>
    <t>Li
протяженность автомобильных дорог по состоянию на 01.01.2022</t>
  </si>
  <si>
    <r>
      <t>К</t>
    </r>
    <r>
      <rPr>
        <i/>
        <sz val="8"/>
        <rFont val="Times New Roman"/>
        <family val="1"/>
        <charset val="204"/>
      </rPr>
      <t>1</t>
    </r>
    <r>
      <rPr>
        <i/>
        <sz val="9"/>
        <rFont val="Times New Roman"/>
        <family val="1"/>
        <charset val="204"/>
      </rPr>
      <t>=1+(S</t>
    </r>
    <r>
      <rPr>
        <i/>
        <sz val="6"/>
        <rFont val="Times New Roman"/>
        <family val="1"/>
        <charset val="204"/>
      </rPr>
      <t>min</t>
    </r>
    <r>
      <rPr>
        <i/>
        <sz val="9"/>
        <rFont val="Times New Roman"/>
        <family val="1"/>
        <charset val="204"/>
      </rPr>
      <t>)/Si)</t>
    </r>
  </si>
  <si>
    <t>Объем дотаций на 2022 год</t>
  </si>
  <si>
    <t>Отклонение от 2022 года</t>
  </si>
  <si>
    <t>Расчет размера дотации бюджетам поселений, входящих в состав Марьяновского муниципального района Омской области, на выравнивание бюджетной обеспеченности на 2025 год</t>
  </si>
  <si>
    <t>Исходные данные, используемые в расчете размера дотации бюджетам поселений на выравнивание бюджетной обеспеченности на 2025 год</t>
  </si>
  <si>
    <t>2025 год</t>
  </si>
  <si>
    <t>Расчет поправочного коэффициента расходных потребностей на 2025 год</t>
  </si>
  <si>
    <t>Поправочный коэффициент расходных потребностей пКрп = К1 + К2</t>
  </si>
  <si>
    <t>5=3+4</t>
  </si>
  <si>
    <t>K2=((Lmin+СУММ('Исходные данные'!F11:F20)/(Li+СУММ('Исходные данные'!F11:F20))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</si>
</sst>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i/>
      <sz val="6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Arial Cyr"/>
      <family val="2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FFFF00"/>
        <bgColor indexed="23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66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 wrapText="1"/>
    </xf>
    <xf numFmtId="164" fontId="18" fillId="0" borderId="11" xfId="0" applyNumberFormat="1" applyFont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Border="1" applyAlignment="1">
      <alignment vertical="center"/>
    </xf>
    <xf numFmtId="0" fontId="21" fillId="0" borderId="17" xfId="0" applyFont="1" applyBorder="1" applyAlignment="1">
      <alignment vertical="center"/>
    </xf>
    <xf numFmtId="3" fontId="21" fillId="0" borderId="17" xfId="0" applyNumberFormat="1" applyFont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3" fontId="33" fillId="0" borderId="28" xfId="0" applyNumberFormat="1" applyFont="1" applyBorder="1" applyAlignment="1">
      <alignment horizontal="center" vertical="center" wrapText="1"/>
    </xf>
    <xf numFmtId="3" fontId="33" fillId="0" borderId="17" xfId="0" applyNumberFormat="1" applyFont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1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0" fontId="37" fillId="42" borderId="33" xfId="0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51" xfId="0" applyFont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164" fontId="18" fillId="26" borderId="15" xfId="0" applyNumberFormat="1" applyFont="1" applyFill="1" applyBorder="1" applyAlignment="1">
      <alignment horizontal="center" vertical="center"/>
    </xf>
    <xf numFmtId="165" fontId="30" fillId="48" borderId="28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40" fillId="0" borderId="14" xfId="0" applyFont="1" applyBorder="1" applyAlignment="1">
      <alignment wrapText="1"/>
    </xf>
    <xf numFmtId="0" fontId="23" fillId="0" borderId="14" xfId="0" applyFont="1" applyBorder="1" applyAlignment="1">
      <alignment horizontal="left" vertical="center" wrapText="1"/>
    </xf>
    <xf numFmtId="0" fontId="23" fillId="0" borderId="70" xfId="0" applyFont="1" applyBorder="1" applyAlignment="1">
      <alignment horizontal="left" vertical="center" wrapText="1"/>
    </xf>
    <xf numFmtId="164" fontId="18" fillId="0" borderId="13" xfId="0" applyNumberFormat="1" applyFont="1" applyBorder="1" applyAlignment="1">
      <alignment horizontal="center" vertical="center"/>
    </xf>
    <xf numFmtId="164" fontId="18" fillId="0" borderId="69" xfId="0" applyNumberFormat="1" applyFont="1" applyBorder="1" applyAlignment="1">
      <alignment horizontal="center" vertical="center"/>
    </xf>
    <xf numFmtId="164" fontId="18" fillId="0" borderId="68" xfId="0" applyNumberFormat="1" applyFont="1" applyBorder="1" applyAlignment="1">
      <alignment horizontal="center" vertical="center"/>
    </xf>
    <xf numFmtId="164" fontId="18" fillId="0" borderId="63" xfId="0" applyNumberFormat="1" applyFont="1" applyBorder="1" applyAlignment="1">
      <alignment horizontal="center" vertical="center"/>
    </xf>
    <xf numFmtId="164" fontId="18" fillId="0" borderId="72" xfId="0" applyNumberFormat="1" applyFont="1" applyBorder="1" applyAlignment="1">
      <alignment horizontal="center" vertical="center"/>
    </xf>
    <xf numFmtId="164" fontId="18" fillId="0" borderId="73" xfId="0" applyNumberFormat="1" applyFont="1" applyBorder="1" applyAlignment="1">
      <alignment horizontal="center" vertical="center"/>
    </xf>
    <xf numFmtId="164" fontId="18" fillId="0" borderId="50" xfId="0" applyNumberFormat="1" applyFont="1" applyBorder="1" applyAlignment="1">
      <alignment horizontal="center" vertical="center"/>
    </xf>
    <xf numFmtId="3" fontId="18" fillId="0" borderId="50" xfId="0" applyNumberFormat="1" applyFont="1" applyBorder="1" applyAlignment="1">
      <alignment horizontal="center" vertical="center"/>
    </xf>
    <xf numFmtId="3" fontId="18" fillId="0" borderId="51" xfId="0" applyNumberFormat="1" applyFont="1" applyBorder="1" applyAlignment="1">
      <alignment horizontal="center" vertical="center"/>
    </xf>
    <xf numFmtId="164" fontId="18" fillId="26" borderId="13" xfId="0" applyNumberFormat="1" applyFont="1" applyFill="1" applyBorder="1" applyAlignment="1">
      <alignment horizontal="center" vertical="center"/>
    </xf>
    <xf numFmtId="164" fontId="18" fillId="26" borderId="71" xfId="0" applyNumberFormat="1" applyFont="1" applyFill="1" applyBorder="1" applyAlignment="1">
      <alignment horizontal="center" vertical="center"/>
    </xf>
    <xf numFmtId="164" fontId="18" fillId="0" borderId="51" xfId="0" applyNumberFormat="1" applyFont="1" applyBorder="1" applyAlignment="1">
      <alignment horizontal="center" vertical="center"/>
    </xf>
    <xf numFmtId="172" fontId="34" fillId="31" borderId="59" xfId="0" applyNumberFormat="1" applyFont="1" applyFill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/>
    </xf>
    <xf numFmtId="172" fontId="34" fillId="31" borderId="74" xfId="0" applyNumberFormat="1" applyFont="1" applyFill="1" applyBorder="1" applyAlignment="1">
      <alignment horizontal="center" vertical="center" wrapText="1"/>
    </xf>
    <xf numFmtId="0" fontId="32" fillId="0" borderId="75" xfId="0" applyFont="1" applyBorder="1" applyAlignment="1">
      <alignment vertical="top" wrapText="1"/>
    </xf>
    <xf numFmtId="171" fontId="18" fillId="0" borderId="31" xfId="0" applyNumberFormat="1" applyFont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5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167" fontId="21" fillId="47" borderId="25" xfId="0" applyNumberFormat="1" applyFont="1" applyFill="1" applyBorder="1" applyAlignment="1">
      <alignment vertical="center"/>
    </xf>
    <xf numFmtId="172" fontId="30" fillId="50" borderId="17" xfId="0" applyNumberFormat="1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48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2" fontId="18" fillId="39" borderId="46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3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32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49" fontId="37" fillId="42" borderId="54" xfId="0" applyNumberFormat="1" applyFont="1" applyFill="1" applyBorder="1" applyAlignment="1">
      <alignment horizontal="center" vertical="center" wrapText="1"/>
    </xf>
    <xf numFmtId="164" fontId="21" fillId="0" borderId="17" xfId="0" applyNumberFormat="1" applyFont="1" applyBorder="1" applyAlignment="1">
      <alignment horizontal="center" vertical="center"/>
    </xf>
    <xf numFmtId="0" fontId="24" fillId="0" borderId="11" xfId="0" applyFont="1" applyBorder="1"/>
    <xf numFmtId="0" fontId="18" fillId="0" borderId="11" xfId="0" applyFont="1" applyBorder="1" applyAlignment="1">
      <alignment wrapText="1"/>
    </xf>
    <xf numFmtId="164" fontId="18" fillId="0" borderId="21" xfId="0" applyNumberFormat="1" applyFont="1" applyBorder="1" applyAlignment="1">
      <alignment horizontal="center" vertical="center"/>
    </xf>
    <xf numFmtId="164" fontId="18" fillId="0" borderId="71" xfId="0" applyNumberFormat="1" applyFont="1" applyBorder="1" applyAlignment="1">
      <alignment horizontal="center" vertical="center"/>
    </xf>
    <xf numFmtId="167" fontId="18" fillId="0" borderId="11" xfId="0" applyNumberFormat="1" applyFont="1" applyBorder="1" applyAlignment="1">
      <alignment horizontal="center" vertical="center"/>
    </xf>
    <xf numFmtId="0" fontId="43" fillId="0" borderId="0" xfId="0" applyFont="1"/>
    <xf numFmtId="164" fontId="28" fillId="42" borderId="21" xfId="0" applyNumberFormat="1" applyFont="1" applyFill="1" applyBorder="1" applyAlignment="1">
      <alignment horizontal="center" vertical="top" wrapText="1"/>
    </xf>
    <xf numFmtId="164" fontId="28" fillId="42" borderId="16" xfId="0" applyNumberFormat="1" applyFont="1" applyFill="1" applyBorder="1" applyAlignment="1">
      <alignment horizontal="center" vertical="top" wrapText="1"/>
    </xf>
    <xf numFmtId="0" fontId="28" fillId="30" borderId="55" xfId="0" applyFont="1" applyFill="1" applyBorder="1" applyAlignment="1">
      <alignment horizontal="center" vertical="center"/>
    </xf>
    <xf numFmtId="0" fontId="28" fillId="30" borderId="25" xfId="0" applyFont="1" applyFill="1" applyBorder="1" applyAlignment="1">
      <alignment horizontal="center" vertical="center"/>
    </xf>
    <xf numFmtId="164" fontId="28" fillId="43" borderId="31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171" fontId="18" fillId="34" borderId="35" xfId="0" applyNumberFormat="1" applyFont="1" applyFill="1" applyBorder="1" applyAlignment="1">
      <alignment horizontal="center" vertical="center"/>
    </xf>
    <xf numFmtId="171" fontId="18" fillId="34" borderId="35" xfId="0" applyNumberFormat="1" applyFont="1" applyFill="1" applyBorder="1" applyAlignment="1">
      <alignment horizontal="center"/>
    </xf>
    <xf numFmtId="0" fontId="18" fillId="27" borderId="57" xfId="0" applyFont="1" applyFill="1" applyBorder="1" applyAlignment="1">
      <alignment horizontal="center" vertical="center"/>
    </xf>
    <xf numFmtId="0" fontId="18" fillId="27" borderId="58" xfId="0" applyFont="1" applyFill="1" applyBorder="1" applyAlignment="1">
      <alignment horizontal="center" vertical="center"/>
    </xf>
    <xf numFmtId="167" fontId="30" fillId="0" borderId="76" xfId="0" applyNumberFormat="1" applyFont="1" applyBorder="1" applyAlignment="1">
      <alignment horizontal="right" vertical="center"/>
    </xf>
    <xf numFmtId="0" fontId="22" fillId="30" borderId="11" xfId="0" applyFont="1" applyFill="1" applyBorder="1" applyAlignment="1">
      <alignment horizontal="center" vertical="center"/>
    </xf>
    <xf numFmtId="0" fontId="29" fillId="28" borderId="11" xfId="0" applyFont="1" applyFill="1" applyBorder="1" applyAlignment="1">
      <alignment wrapText="1"/>
    </xf>
    <xf numFmtId="167" fontId="21" fillId="50" borderId="17" xfId="0" applyNumberFormat="1" applyFont="1" applyFill="1" applyBorder="1" applyAlignment="1">
      <alignment horizontal="right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3" xfId="0" applyNumberFormat="1" applyFont="1" applyFill="1" applyBorder="1" applyAlignment="1">
      <alignment horizontal="center" vertical="center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57" xfId="0" applyFont="1" applyBorder="1" applyAlignment="1">
      <alignment horizontal="center" vertical="center" wrapText="1"/>
    </xf>
    <xf numFmtId="0" fontId="18" fillId="0" borderId="58" xfId="0" applyFont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5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32" fillId="0" borderId="22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7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21" fillId="25" borderId="15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FFFFCC"/>
      <color rgb="FFCCFFCC"/>
      <color rgb="FFB7F9A7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X35"/>
  <sheetViews>
    <sheetView zoomScale="85" zoomScaleNormal="85" zoomScaleSheetLayoutView="75" workbookViewId="0">
      <selection activeCell="D11" sqref="D11:D20"/>
    </sheetView>
  </sheetViews>
  <sheetFormatPr defaultRowHeight="15.75" x14ac:dyDescent="0.2"/>
  <cols>
    <col min="1" max="1" width="7.28515625" style="1" customWidth="1"/>
    <col min="2" max="2" width="56" style="1" customWidth="1"/>
    <col min="3" max="3" width="18" style="2" customWidth="1"/>
    <col min="4" max="4" width="22.42578125" style="2" customWidth="1"/>
    <col min="5" max="6" width="26.140625" style="3" customWidth="1"/>
    <col min="7" max="232" width="9.140625" style="1"/>
  </cols>
  <sheetData>
    <row r="2" spans="1:232" s="4" customFormat="1" ht="63" customHeight="1" x14ac:dyDescent="0.2">
      <c r="A2" s="207" t="s">
        <v>195</v>
      </c>
      <c r="B2" s="207"/>
      <c r="C2" s="207"/>
      <c r="D2" s="207"/>
      <c r="E2" s="207"/>
      <c r="F2" s="207"/>
    </row>
    <row r="3" spans="1:232" s="4" customFormat="1" ht="16.5" x14ac:dyDescent="0.2">
      <c r="B3" s="201"/>
      <c r="C3" s="201"/>
      <c r="D3" s="201"/>
      <c r="E3" s="201"/>
      <c r="F3" s="201"/>
    </row>
    <row r="4" spans="1:232" ht="16.5" thickBot="1" x14ac:dyDescent="0.25">
      <c r="B4" s="5"/>
      <c r="C4" s="6"/>
      <c r="D4" s="6"/>
    </row>
    <row r="5" spans="1:232" s="181" customFormat="1" ht="20.25" customHeight="1" thickBot="1" x14ac:dyDescent="0.25">
      <c r="A5" s="212" t="s">
        <v>0</v>
      </c>
      <c r="B5" s="202" t="s">
        <v>7</v>
      </c>
      <c r="C5" s="205" t="s">
        <v>56</v>
      </c>
      <c r="D5" s="206"/>
      <c r="E5" s="206"/>
      <c r="F5" s="20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</row>
    <row r="6" spans="1:232" s="7" customFormat="1" ht="51.75" customHeight="1" x14ac:dyDescent="0.2">
      <c r="A6" s="213"/>
      <c r="B6" s="203"/>
      <c r="C6" s="85" t="s">
        <v>183</v>
      </c>
      <c r="D6" s="85" t="s">
        <v>62</v>
      </c>
      <c r="E6" s="208" t="s">
        <v>69</v>
      </c>
      <c r="F6" s="209"/>
    </row>
    <row r="7" spans="1:232" s="7" customFormat="1" ht="76.5" customHeight="1" thickBot="1" x14ac:dyDescent="0.25">
      <c r="A7" s="213"/>
      <c r="B7" s="203"/>
      <c r="C7" s="87" t="s">
        <v>188</v>
      </c>
      <c r="D7" s="87" t="s">
        <v>196</v>
      </c>
      <c r="E7" s="210"/>
      <c r="F7" s="211"/>
    </row>
    <row r="8" spans="1:232" s="7" customFormat="1" ht="80.25" customHeight="1" thickBot="1" x14ac:dyDescent="0.25">
      <c r="A8" s="213"/>
      <c r="B8" s="204"/>
      <c r="C8" s="86" t="s">
        <v>1</v>
      </c>
      <c r="D8" s="86" t="s">
        <v>2</v>
      </c>
      <c r="E8" s="182" t="s">
        <v>189</v>
      </c>
      <c r="F8" s="183" t="s">
        <v>190</v>
      </c>
    </row>
    <row r="9" spans="1:232" s="187" customFormat="1" ht="36.75" customHeight="1" thickBot="1" x14ac:dyDescent="0.25">
      <c r="A9" s="214"/>
      <c r="B9" s="184" t="s">
        <v>3</v>
      </c>
      <c r="C9" s="185" t="s">
        <v>5</v>
      </c>
      <c r="D9" s="185" t="s">
        <v>4</v>
      </c>
      <c r="E9" s="186" t="s">
        <v>180</v>
      </c>
      <c r="F9" s="186" t="s">
        <v>181</v>
      </c>
    </row>
    <row r="10" spans="1:232" s="8" customFormat="1" thickBot="1" x14ac:dyDescent="0.25">
      <c r="A10" s="33">
        <v>1</v>
      </c>
      <c r="B10" s="34">
        <v>2</v>
      </c>
      <c r="C10" s="34">
        <v>3</v>
      </c>
      <c r="D10" s="34">
        <v>4</v>
      </c>
      <c r="E10" s="34">
        <v>5</v>
      </c>
      <c r="F10" s="34">
        <v>7</v>
      </c>
    </row>
    <row r="11" spans="1:232" ht="18.75" x14ac:dyDescent="0.3">
      <c r="A11" s="36">
        <v>1</v>
      </c>
      <c r="B11" s="176" t="s">
        <v>170</v>
      </c>
      <c r="C11" s="119">
        <v>1951</v>
      </c>
      <c r="D11" s="196">
        <v>1778447</v>
      </c>
      <c r="E11" s="178">
        <v>251.32</v>
      </c>
      <c r="F11" s="180">
        <v>28.9</v>
      </c>
    </row>
    <row r="12" spans="1:232" ht="18.75" x14ac:dyDescent="0.3">
      <c r="A12" s="37">
        <v>2</v>
      </c>
      <c r="B12" s="176" t="s">
        <v>171</v>
      </c>
      <c r="C12" s="120">
        <v>3469</v>
      </c>
      <c r="D12" s="197">
        <v>6807462</v>
      </c>
      <c r="E12" s="118">
        <v>215.65</v>
      </c>
      <c r="F12" s="180">
        <v>27.1</v>
      </c>
    </row>
    <row r="13" spans="1:232" ht="18.75" x14ac:dyDescent="0.3">
      <c r="A13" s="37">
        <v>3</v>
      </c>
      <c r="B13" s="176" t="s">
        <v>172</v>
      </c>
      <c r="C13" s="120">
        <v>2884</v>
      </c>
      <c r="D13" s="197">
        <v>4415925</v>
      </c>
      <c r="E13" s="118">
        <v>245.01</v>
      </c>
      <c r="F13" s="180">
        <v>38.5</v>
      </c>
    </row>
    <row r="14" spans="1:232" ht="18.75" x14ac:dyDescent="0.3">
      <c r="A14" s="37">
        <v>4</v>
      </c>
      <c r="B14" s="176" t="s">
        <v>173</v>
      </c>
      <c r="C14" s="120">
        <v>1068</v>
      </c>
      <c r="D14" s="197">
        <v>744708</v>
      </c>
      <c r="E14" s="118">
        <v>144.69</v>
      </c>
      <c r="F14" s="180">
        <v>9.1999999999999993</v>
      </c>
    </row>
    <row r="15" spans="1:232" ht="18.75" x14ac:dyDescent="0.3">
      <c r="A15" s="37">
        <v>5</v>
      </c>
      <c r="B15" s="176" t="s">
        <v>174</v>
      </c>
      <c r="C15" s="120">
        <v>3773</v>
      </c>
      <c r="D15" s="197">
        <v>4078608</v>
      </c>
      <c r="E15" s="118">
        <v>385.69</v>
      </c>
      <c r="F15" s="180">
        <v>26.6</v>
      </c>
    </row>
    <row r="16" spans="1:232" ht="18.75" x14ac:dyDescent="0.3">
      <c r="A16" s="37">
        <v>6</v>
      </c>
      <c r="B16" s="176" t="s">
        <v>175</v>
      </c>
      <c r="C16" s="120">
        <v>1453</v>
      </c>
      <c r="D16" s="197">
        <v>5032422</v>
      </c>
      <c r="E16" s="118">
        <v>140.91</v>
      </c>
      <c r="F16" s="180">
        <v>18.100000000000001</v>
      </c>
    </row>
    <row r="17" spans="1:6" ht="18.75" x14ac:dyDescent="0.3">
      <c r="A17" s="37">
        <v>7</v>
      </c>
      <c r="B17" s="176" t="s">
        <v>176</v>
      </c>
      <c r="C17" s="120">
        <v>808</v>
      </c>
      <c r="D17" s="197">
        <v>354963</v>
      </c>
      <c r="E17" s="118">
        <v>7.63</v>
      </c>
      <c r="F17" s="180">
        <v>8.9</v>
      </c>
    </row>
    <row r="18" spans="1:6" ht="18.75" x14ac:dyDescent="0.3">
      <c r="A18" s="37">
        <v>8</v>
      </c>
      <c r="B18" s="176" t="s">
        <v>177</v>
      </c>
      <c r="C18" s="121">
        <v>946</v>
      </c>
      <c r="D18" s="198">
        <v>1305511</v>
      </c>
      <c r="E18" s="118">
        <v>117.85</v>
      </c>
      <c r="F18" s="180">
        <v>14</v>
      </c>
    </row>
    <row r="19" spans="1:6" ht="18.75" x14ac:dyDescent="0.3">
      <c r="A19" s="37">
        <v>9</v>
      </c>
      <c r="B19" s="176" t="s">
        <v>178</v>
      </c>
      <c r="C19" s="122">
        <v>1629</v>
      </c>
      <c r="D19" s="199">
        <v>1451490</v>
      </c>
      <c r="E19" s="118">
        <v>109.08</v>
      </c>
      <c r="F19" s="180">
        <v>19.899999999999999</v>
      </c>
    </row>
    <row r="20" spans="1:6" ht="19.5" thickBot="1" x14ac:dyDescent="0.35">
      <c r="A20" s="37">
        <v>10</v>
      </c>
      <c r="B20" s="176" t="s">
        <v>179</v>
      </c>
      <c r="C20" s="123">
        <v>8555</v>
      </c>
      <c r="D20" s="200">
        <v>18222457</v>
      </c>
      <c r="E20" s="179">
        <v>34.119999999999997</v>
      </c>
      <c r="F20" s="180">
        <v>42.4</v>
      </c>
    </row>
    <row r="21" spans="1:6" ht="34.5" hidden="1" customHeight="1" x14ac:dyDescent="0.25">
      <c r="A21" s="37">
        <v>11</v>
      </c>
      <c r="B21" s="115"/>
      <c r="C21" s="124"/>
      <c r="D21" s="124"/>
      <c r="E21" s="118"/>
      <c r="F21" s="14"/>
    </row>
    <row r="22" spans="1:6" ht="16.5" hidden="1" thickBot="1" x14ac:dyDescent="0.3">
      <c r="A22" s="37">
        <v>12</v>
      </c>
      <c r="B22" s="115"/>
      <c r="C22" s="124"/>
      <c r="D22" s="124"/>
      <c r="E22" s="118"/>
      <c r="F22" s="14"/>
    </row>
    <row r="23" spans="1:6" ht="16.5" hidden="1" thickBot="1" x14ac:dyDescent="0.3">
      <c r="A23" s="37">
        <v>13</v>
      </c>
      <c r="B23" s="115"/>
      <c r="C23" s="124"/>
      <c r="D23" s="124"/>
      <c r="E23" s="118"/>
      <c r="F23" s="14"/>
    </row>
    <row r="24" spans="1:6" ht="16.5" hidden="1" thickBot="1" x14ac:dyDescent="0.25">
      <c r="A24" s="37">
        <v>14</v>
      </c>
      <c r="B24" s="116"/>
      <c r="C24" s="125"/>
      <c r="D24" s="124"/>
      <c r="E24" s="127"/>
      <c r="F24" s="107"/>
    </row>
    <row r="25" spans="1:6" ht="16.5" hidden="1" thickBot="1" x14ac:dyDescent="0.25">
      <c r="A25" s="37">
        <v>15</v>
      </c>
      <c r="B25" s="116"/>
      <c r="C25" s="125"/>
      <c r="D25" s="124"/>
      <c r="E25" s="127"/>
      <c r="F25" s="107"/>
    </row>
    <row r="26" spans="1:6" ht="16.5" hidden="1" thickBot="1" x14ac:dyDescent="0.25">
      <c r="A26" s="37">
        <v>16</v>
      </c>
      <c r="B26" s="116"/>
      <c r="C26" s="125"/>
      <c r="D26" s="124"/>
      <c r="E26" s="127"/>
      <c r="F26" s="107"/>
    </row>
    <row r="27" spans="1:6" ht="16.5" hidden="1" thickBot="1" x14ac:dyDescent="0.25">
      <c r="A27" s="37">
        <v>17</v>
      </c>
      <c r="B27" s="116"/>
      <c r="C27" s="125"/>
      <c r="D27" s="124"/>
      <c r="E27" s="127"/>
      <c r="F27" s="107"/>
    </row>
    <row r="28" spans="1:6" ht="16.5" hidden="1" thickBot="1" x14ac:dyDescent="0.25">
      <c r="A28" s="37">
        <v>18</v>
      </c>
      <c r="B28" s="116"/>
      <c r="C28" s="125"/>
      <c r="D28" s="124"/>
      <c r="E28" s="127"/>
      <c r="F28" s="107"/>
    </row>
    <row r="29" spans="1:6" ht="16.5" hidden="1" thickBot="1" x14ac:dyDescent="0.25">
      <c r="A29" s="37">
        <v>19</v>
      </c>
      <c r="B29" s="116"/>
      <c r="C29" s="125"/>
      <c r="D29" s="124"/>
      <c r="E29" s="127"/>
      <c r="F29" s="107"/>
    </row>
    <row r="30" spans="1:6" ht="16.5" hidden="1" thickBot="1" x14ac:dyDescent="0.25">
      <c r="A30" s="37">
        <v>20</v>
      </c>
      <c r="B30" s="116"/>
      <c r="C30" s="125"/>
      <c r="D30" s="124"/>
      <c r="E30" s="127"/>
      <c r="F30" s="107"/>
    </row>
    <row r="31" spans="1:6" ht="16.5" hidden="1" thickBot="1" x14ac:dyDescent="0.25">
      <c r="A31" s="37">
        <v>21</v>
      </c>
      <c r="B31" s="116"/>
      <c r="C31" s="125"/>
      <c r="D31" s="124"/>
      <c r="E31" s="127"/>
      <c r="F31" s="107"/>
    </row>
    <row r="32" spans="1:6" ht="16.5" hidden="1" thickBot="1" x14ac:dyDescent="0.25">
      <c r="A32" s="37">
        <v>22</v>
      </c>
      <c r="B32" s="116"/>
      <c r="C32" s="125"/>
      <c r="D32" s="124"/>
      <c r="E32" s="127"/>
      <c r="F32" s="107"/>
    </row>
    <row r="33" spans="1:6" ht="16.5" hidden="1" thickBot="1" x14ac:dyDescent="0.25">
      <c r="A33" s="37">
        <v>23</v>
      </c>
      <c r="B33" s="116"/>
      <c r="C33" s="125"/>
      <c r="D33" s="124"/>
      <c r="E33" s="127"/>
      <c r="F33" s="107"/>
    </row>
    <row r="34" spans="1:6" ht="23.25" hidden="1" customHeight="1" thickBot="1" x14ac:dyDescent="0.25">
      <c r="A34" s="38">
        <v>24</v>
      </c>
      <c r="B34" s="117"/>
      <c r="C34" s="126"/>
      <c r="D34" s="129"/>
      <c r="E34" s="128"/>
      <c r="F34" s="108"/>
    </row>
    <row r="35" spans="1:6" ht="28.5" customHeight="1" thickBot="1" x14ac:dyDescent="0.25">
      <c r="A35" s="16"/>
      <c r="B35" s="17" t="s">
        <v>6</v>
      </c>
      <c r="C35" s="18">
        <f>SUM(C11:C34)</f>
        <v>26536</v>
      </c>
      <c r="D35" s="18">
        <f>SUM(D11:D34)</f>
        <v>44191993</v>
      </c>
      <c r="E35" s="175">
        <f>SUM(E11:E34)</f>
        <v>1651.95</v>
      </c>
      <c r="F35" s="175">
        <f>SUM(F11:F34)</f>
        <v>233.60000000000002</v>
      </c>
    </row>
  </sheetData>
  <sheetProtection selectLockedCells="1" selectUnlockedCells="1"/>
  <protectedRanges>
    <protectedRange sqref="B11:B20" name="Диапазон3"/>
    <protectedRange sqref="B11:B20" name="Диапазон2"/>
  </protectedRanges>
  <mergeCells count="6">
    <mergeCell ref="B3:F3"/>
    <mergeCell ref="B5:B8"/>
    <mergeCell ref="C5:F5"/>
    <mergeCell ref="A2:F2"/>
    <mergeCell ref="E6:F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zoomScale="110" zoomScaleNormal="110" workbookViewId="0">
      <selection activeCell="E16" sqref="E16"/>
    </sheetView>
  </sheetViews>
  <sheetFormatPr defaultRowHeight="15.75" x14ac:dyDescent="0.2"/>
  <cols>
    <col min="1" max="1" width="6.140625" style="9" customWidth="1"/>
    <col min="2" max="2" width="42.5703125" style="9" customWidth="1"/>
    <col min="3" max="4" width="30.28515625" style="9" customWidth="1"/>
    <col min="5" max="5" width="18.28515625" style="9" customWidth="1"/>
    <col min="6" max="6" width="13.42578125" style="9" bestFit="1" customWidth="1"/>
    <col min="7" max="16384" width="9.140625" style="9"/>
  </cols>
  <sheetData>
    <row r="1" spans="1:6" x14ac:dyDescent="0.2">
      <c r="C1" s="10"/>
      <c r="D1" s="10"/>
    </row>
    <row r="2" spans="1:6" s="11" customFormat="1" ht="18.75" x14ac:dyDescent="0.2">
      <c r="A2" s="215" t="s">
        <v>197</v>
      </c>
      <c r="B2" s="215"/>
      <c r="C2" s="215"/>
      <c r="D2" s="215"/>
      <c r="E2" s="215"/>
    </row>
    <row r="3" spans="1:6" ht="16.5" thickBot="1" x14ac:dyDescent="0.25"/>
    <row r="4" spans="1:6" s="7" customFormat="1" ht="50.25" customHeight="1" thickBot="1" x14ac:dyDescent="0.25">
      <c r="A4" s="216" t="s">
        <v>0</v>
      </c>
      <c r="B4" s="216" t="s">
        <v>61</v>
      </c>
      <c r="C4" s="83" t="s">
        <v>186</v>
      </c>
      <c r="D4" s="83" t="s">
        <v>187</v>
      </c>
      <c r="E4" s="218" t="s">
        <v>198</v>
      </c>
    </row>
    <row r="5" spans="1:6" s="12" customFormat="1" ht="90.75" customHeight="1" thickBot="1" x14ac:dyDescent="0.25">
      <c r="A5" s="217"/>
      <c r="B5" s="217"/>
      <c r="C5" s="174" t="s">
        <v>191</v>
      </c>
      <c r="D5" s="174" t="s">
        <v>200</v>
      </c>
      <c r="E5" s="219"/>
    </row>
    <row r="6" spans="1:6" s="13" customFormat="1" thickBot="1" x14ac:dyDescent="0.25">
      <c r="A6" s="39">
        <v>1</v>
      </c>
      <c r="B6" s="40">
        <f t="shared" ref="B6:C6" si="0">A6+1</f>
        <v>2</v>
      </c>
      <c r="C6" s="40">
        <f t="shared" si="0"/>
        <v>3</v>
      </c>
      <c r="D6" s="40">
        <v>4</v>
      </c>
      <c r="E6" s="84" t="s">
        <v>199</v>
      </c>
    </row>
    <row r="7" spans="1:6" ht="16.5" customHeight="1" thickBot="1" x14ac:dyDescent="0.3">
      <c r="A7" s="131">
        <v>1</v>
      </c>
      <c r="B7" s="177" t="s">
        <v>170</v>
      </c>
      <c r="C7" s="188">
        <f>1+('Исходные данные'!E17/'Исходные данные'!E11)</f>
        <v>1.0303597007798821</v>
      </c>
      <c r="D7" s="189">
        <f>('Исходные данные'!F17+'Исходные данные'!F35)/('Исходные данные'!F11+'Исходные данные'!F35)</f>
        <v>0.92380952380952397</v>
      </c>
      <c r="E7" s="132">
        <f>C7+D7</f>
        <v>1.954169224589406</v>
      </c>
      <c r="F7" s="15"/>
    </row>
    <row r="8" spans="1:6" ht="16.5" customHeight="1" thickBot="1" x14ac:dyDescent="0.3">
      <c r="A8" s="81">
        <v>2</v>
      </c>
      <c r="B8" s="177" t="s">
        <v>171</v>
      </c>
      <c r="C8" s="188">
        <f>1+('Исходные данные'!E17/'Исходные данные'!E12)</f>
        <v>1.0353814050544865</v>
      </c>
      <c r="D8" s="189">
        <f>('Исходные данные'!F17+'Исходные данные'!F35)/('Исходные данные'!F12+'Исходные данные'!F35)</f>
        <v>0.93018795550441113</v>
      </c>
      <c r="E8" s="132">
        <f t="shared" ref="E8:E16" si="1">C8+D8</f>
        <v>1.9655693605588977</v>
      </c>
      <c r="F8" s="15"/>
    </row>
    <row r="9" spans="1:6" ht="16.5" customHeight="1" thickBot="1" x14ac:dyDescent="0.3">
      <c r="A9" s="81">
        <v>3</v>
      </c>
      <c r="B9" s="177" t="s">
        <v>172</v>
      </c>
      <c r="C9" s="188">
        <f>1+('Исходные данные'!E17/'Исходные данные'!E13)</f>
        <v>1.031141586057712</v>
      </c>
      <c r="D9" s="189">
        <f>('Исходные данные'!F17+'Исходные данные'!F35)/('Исходные данные'!F13+'Исходные данные'!F35)</f>
        <v>0.8912164645350974</v>
      </c>
      <c r="E9" s="132">
        <f t="shared" si="1"/>
        <v>1.9223580505928095</v>
      </c>
      <c r="F9" s="15"/>
    </row>
    <row r="10" spans="1:6" ht="16.5" customHeight="1" thickBot="1" x14ac:dyDescent="0.3">
      <c r="A10" s="81">
        <v>4</v>
      </c>
      <c r="B10" s="177" t="s">
        <v>173</v>
      </c>
      <c r="C10" s="188">
        <f>1+('Исходные данные'!E17/'Исходные данные'!E14)</f>
        <v>1.0527334300919207</v>
      </c>
      <c r="D10" s="189">
        <f>('Исходные данные'!F17+'Исходные данные'!F35)/('Исходные данные'!F14+'Исходные данные'!F35)</f>
        <v>0.99876441515650749</v>
      </c>
      <c r="E10" s="132">
        <f t="shared" si="1"/>
        <v>2.051497845248428</v>
      </c>
      <c r="F10" s="15"/>
    </row>
    <row r="11" spans="1:6" ht="16.5" customHeight="1" thickBot="1" x14ac:dyDescent="0.3">
      <c r="A11" s="81">
        <v>5</v>
      </c>
      <c r="B11" s="177" t="s">
        <v>174</v>
      </c>
      <c r="C11" s="188">
        <f>1+('Исходные данные'!E17/'Исходные данные'!E15)</f>
        <v>1.0197827270605928</v>
      </c>
      <c r="D11" s="189">
        <f>('Исходные данные'!F17+'Исходные данные'!F35)/('Исходные данные'!F15+'Исходные данные'!F35)</f>
        <v>0.93197540353574171</v>
      </c>
      <c r="E11" s="132">
        <f t="shared" si="1"/>
        <v>1.9517581305963345</v>
      </c>
      <c r="F11" s="15"/>
    </row>
    <row r="12" spans="1:6" ht="16.5" customHeight="1" thickBot="1" x14ac:dyDescent="0.3">
      <c r="A12" s="81">
        <v>6</v>
      </c>
      <c r="B12" s="177" t="s">
        <v>175</v>
      </c>
      <c r="C12" s="188">
        <f>1+('Исходные данные'!E17/'Исходные данные'!E16)</f>
        <v>1.0541480377545951</v>
      </c>
      <c r="D12" s="189">
        <f>('Исходные данные'!F17+'Исходные данные'!F35)/('Исходные данные'!F16+'Исходные данные'!F35)</f>
        <v>0.96344854986094564</v>
      </c>
      <c r="E12" s="132">
        <f t="shared" si="1"/>
        <v>2.0175965876155408</v>
      </c>
      <c r="F12" s="15"/>
    </row>
    <row r="13" spans="1:6" ht="16.5" customHeight="1" thickBot="1" x14ac:dyDescent="0.3">
      <c r="A13" s="81">
        <v>7</v>
      </c>
      <c r="B13" s="177" t="s">
        <v>176</v>
      </c>
      <c r="C13" s="188">
        <f>1+('Исходные данные'!E17/'Исходные данные'!E17)</f>
        <v>2</v>
      </c>
      <c r="D13" s="189">
        <f>('Исходные данные'!F17+'Исходные данные'!F35)/('Исходные данные'!F17+'Исходные данные'!F35)</f>
        <v>1</v>
      </c>
      <c r="E13" s="132">
        <f t="shared" si="1"/>
        <v>3</v>
      </c>
      <c r="F13" s="15"/>
    </row>
    <row r="14" spans="1:6" ht="16.5" customHeight="1" thickBot="1" x14ac:dyDescent="0.3">
      <c r="A14" s="81">
        <v>8</v>
      </c>
      <c r="B14" s="177" t="s">
        <v>177</v>
      </c>
      <c r="C14" s="188">
        <f>1+('Исходные данные'!E17/'Исходные данные'!E18)</f>
        <v>1.0647433177768351</v>
      </c>
      <c r="D14" s="189">
        <f>('Исходные данные'!F17+'Исходные данные'!F35)/('Исходные данные'!F18+'Исходные данные'!F35)</f>
        <v>0.97940226171243949</v>
      </c>
      <c r="E14" s="132">
        <f t="shared" si="1"/>
        <v>2.0441455794892747</v>
      </c>
      <c r="F14" s="15"/>
    </row>
    <row r="15" spans="1:6" ht="16.5" customHeight="1" thickBot="1" x14ac:dyDescent="0.3">
      <c r="A15" s="81">
        <v>9</v>
      </c>
      <c r="B15" s="177" t="s">
        <v>178</v>
      </c>
      <c r="C15" s="188">
        <f>1+('Исходные данные'!E17/'Исходные данные'!E19)</f>
        <v>1.06994866153282</v>
      </c>
      <c r="D15" s="189">
        <f>('Исходные данные'!F17+'Исходные данные'!F35)/('Исходные данные'!F19+'Исходные данные'!F35)</f>
        <v>0.95660749506903353</v>
      </c>
      <c r="E15" s="132">
        <f t="shared" si="1"/>
        <v>2.0265561566018535</v>
      </c>
      <c r="F15" s="15"/>
    </row>
    <row r="16" spans="1:6" x14ac:dyDescent="0.25">
      <c r="A16" s="81">
        <v>10</v>
      </c>
      <c r="B16" s="177" t="s">
        <v>179</v>
      </c>
      <c r="C16" s="188">
        <f>1+('Исходные данные'!E17/'Исходные данные'!E20)</f>
        <v>1.223622508792497</v>
      </c>
      <c r="D16" s="189">
        <f>('Исходные данные'!F17+'Исходные данные'!F35)/('Исходные данные'!F20+'Исходные данные'!F35)</f>
        <v>0.87862318840579723</v>
      </c>
      <c r="E16" s="132">
        <f t="shared" si="1"/>
        <v>2.1022456971982941</v>
      </c>
      <c r="F16" s="15"/>
    </row>
    <row r="17" spans="1:5" ht="16.5" thickBot="1" x14ac:dyDescent="0.25">
      <c r="A17" s="82"/>
      <c r="B17" s="133" t="s">
        <v>182</v>
      </c>
      <c r="C17" s="134"/>
      <c r="D17" s="134"/>
      <c r="E17" s="130"/>
    </row>
    <row r="19" spans="1:5" ht="18" customHeight="1" x14ac:dyDescent="0.2">
      <c r="A19" s="220"/>
      <c r="B19" s="220"/>
      <c r="C19" s="220"/>
      <c r="D19" s="220"/>
      <c r="E19" s="220"/>
    </row>
  </sheetData>
  <sheetProtection selectLockedCells="1" selectUnlockedCells="1"/>
  <protectedRanges>
    <protectedRange sqref="B7:B16" name="Диапазон3"/>
    <protectedRange sqref="B7:B16" name="Диапазон2"/>
  </protectedRanges>
  <mergeCells count="5">
    <mergeCell ref="A2:E2"/>
    <mergeCell ref="A4:A5"/>
    <mergeCell ref="B4:B5"/>
    <mergeCell ref="E4:E5"/>
    <mergeCell ref="A19:E19"/>
  </mergeCells>
  <pageMargins left="0.23622047244094491" right="0.27559055118110237" top="0.51181102362204722" bottom="0.74803149606299213" header="0.27559055118110237" footer="0.51181102362204722"/>
  <pageSetup paperSize="9" firstPageNumber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4"/>
  <sheetViews>
    <sheetView tabSelected="1" view="pageBreakPreview" zoomScale="60" zoomScaleNormal="75" workbookViewId="0">
      <pane xSplit="1" topLeftCell="G1" activePane="topRight" state="frozen"/>
      <selection pane="topRight" activeCell="GK18" sqref="GK18"/>
    </sheetView>
  </sheetViews>
  <sheetFormatPr defaultColWidth="15.28515625" defaultRowHeight="15.75" x14ac:dyDescent="0.2"/>
  <cols>
    <col min="1" max="1" width="45.85546875" style="1" customWidth="1"/>
    <col min="2" max="2" width="17" style="1" customWidth="1"/>
    <col min="3" max="3" width="9.140625" style="1" customWidth="1"/>
    <col min="4" max="4" width="17" style="1" customWidth="1"/>
    <col min="5" max="5" width="8.140625" style="1" customWidth="1"/>
    <col min="6" max="6" width="15.85546875" style="1" customWidth="1"/>
    <col min="7" max="7" width="11.28515625" style="1" customWidth="1"/>
    <col min="8" max="8" width="14.42578125" style="1" customWidth="1"/>
    <col min="9" max="9" width="10.85546875" style="1" customWidth="1"/>
    <col min="10" max="10" width="13" style="1" customWidth="1"/>
    <col min="11" max="11" width="9.5703125" style="1" customWidth="1"/>
    <col min="12" max="12" width="15.85546875" style="1" customWidth="1"/>
    <col min="13" max="13" width="14.42578125" style="1" customWidth="1"/>
    <col min="14" max="14" width="13.28515625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5.7109375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hidden="1" customWidth="1"/>
    <col min="31" max="31" width="13.140625" style="1" hidden="1" customWidth="1"/>
    <col min="32" max="32" width="11.28515625" style="1" hidden="1" customWidth="1"/>
    <col min="33" max="33" width="14.85546875" style="1" hidden="1" customWidth="1"/>
    <col min="34" max="34" width="18.85546875" style="1" hidden="1" customWidth="1"/>
    <col min="35" max="35" width="16.28515625" style="1" hidden="1" customWidth="1"/>
    <col min="36" max="36" width="14.5703125" style="1" hidden="1" customWidth="1"/>
    <col min="37" max="37" width="13.42578125" style="1" hidden="1" customWidth="1"/>
    <col min="38" max="39" width="11.140625" style="1" hidden="1" customWidth="1"/>
    <col min="40" max="40" width="16" style="1" hidden="1" customWidth="1"/>
    <col min="41" max="41" width="15.7109375" style="1" hidden="1" customWidth="1"/>
    <col min="42" max="42" width="16.85546875" style="1" hidden="1" customWidth="1"/>
    <col min="43" max="43" width="12.5703125" style="1" hidden="1" customWidth="1"/>
    <col min="44" max="44" width="10.28515625" style="1" hidden="1" customWidth="1"/>
    <col min="45" max="45" width="13.7109375" style="1" hidden="1" customWidth="1"/>
    <col min="46" max="46" width="16.5703125" style="1" hidden="1" customWidth="1"/>
    <col min="47" max="47" width="16.42578125" style="1" hidden="1" customWidth="1"/>
    <col min="48" max="48" width="15" style="1" hidden="1" customWidth="1"/>
    <col min="49" max="49" width="12.5703125" style="1" hidden="1" customWidth="1"/>
    <col min="50" max="50" width="9.42578125" style="1" hidden="1" customWidth="1"/>
    <col min="51" max="51" width="14.28515625" style="1" hidden="1" customWidth="1"/>
    <col min="52" max="52" width="16.85546875" style="1" hidden="1" customWidth="1"/>
    <col min="53" max="53" width="13.140625" style="1" hidden="1" customWidth="1"/>
    <col min="54" max="54" width="14.28515625" style="1" hidden="1" customWidth="1"/>
    <col min="55" max="55" width="11.5703125" style="1" hidden="1" customWidth="1"/>
    <col min="56" max="56" width="10.42578125" style="1" hidden="1" customWidth="1"/>
    <col min="57" max="57" width="11.85546875" style="1" hidden="1" customWidth="1"/>
    <col min="58" max="58" width="16.42578125" style="1" hidden="1" customWidth="1"/>
    <col min="59" max="59" width="15" style="1" hidden="1" customWidth="1"/>
    <col min="60" max="60" width="18.5703125" style="1" hidden="1" customWidth="1"/>
    <col min="61" max="61" width="11.28515625" style="1" hidden="1" customWidth="1"/>
    <col min="62" max="62" width="12.28515625" style="1" hidden="1" customWidth="1"/>
    <col min="63" max="63" width="13.5703125" style="1" hidden="1" customWidth="1"/>
    <col min="64" max="64" width="16.140625" style="1" hidden="1" customWidth="1"/>
    <col min="65" max="65" width="16.42578125" style="1" hidden="1" customWidth="1"/>
    <col min="66" max="66" width="18.140625" style="1" hidden="1" customWidth="1"/>
    <col min="67" max="67" width="12" style="1" hidden="1" customWidth="1"/>
    <col min="68" max="68" width="12.5703125" style="1" hidden="1" customWidth="1"/>
    <col min="69" max="69" width="15.42578125" style="1" hidden="1" customWidth="1"/>
    <col min="70" max="70" width="16.85546875" style="1" hidden="1" customWidth="1"/>
    <col min="71" max="71" width="15" style="1" hidden="1" customWidth="1"/>
    <col min="72" max="72" width="18.140625" style="1" hidden="1" customWidth="1"/>
    <col min="73" max="73" width="12" style="1" hidden="1" customWidth="1"/>
    <col min="74" max="74" width="12.5703125" style="1" hidden="1" customWidth="1"/>
    <col min="75" max="75" width="15.42578125" style="1" hidden="1" customWidth="1"/>
    <col min="76" max="76" width="16.85546875" style="1" hidden="1" customWidth="1"/>
    <col min="77" max="77" width="15" style="1" hidden="1" customWidth="1"/>
    <col min="78" max="78" width="19.7109375" style="1" hidden="1" customWidth="1"/>
    <col min="79" max="79" width="15.85546875" style="1" hidden="1" customWidth="1"/>
    <col min="80" max="81" width="15" style="1" hidden="1" customWidth="1"/>
    <col min="82" max="82" width="16.5703125" style="1" hidden="1" customWidth="1"/>
    <col min="83" max="83" width="15" style="1" hidden="1" customWidth="1"/>
    <col min="84" max="84" width="16.5703125" style="1" hidden="1" customWidth="1"/>
    <col min="85" max="87" width="15" style="1" hidden="1" customWidth="1"/>
    <col min="88" max="88" width="16.5703125" style="1" hidden="1" customWidth="1"/>
    <col min="89" max="89" width="15" style="1" hidden="1" customWidth="1"/>
    <col min="90" max="90" width="16.28515625" style="1" hidden="1" customWidth="1"/>
    <col min="91" max="93" width="15" style="1" hidden="1" customWidth="1"/>
    <col min="94" max="94" width="16.28515625" style="1" hidden="1" customWidth="1"/>
    <col min="95" max="95" width="15" style="1" hidden="1" customWidth="1"/>
    <col min="96" max="96" width="16.5703125" style="1" hidden="1" customWidth="1"/>
    <col min="97" max="99" width="15" style="1" hidden="1" customWidth="1"/>
    <col min="100" max="100" width="16" style="1" hidden="1" customWidth="1"/>
    <col min="101" max="101" width="15" style="1" hidden="1" customWidth="1"/>
    <col min="102" max="102" width="16" style="1" hidden="1" customWidth="1"/>
    <col min="103" max="105" width="15" style="1" hidden="1" customWidth="1"/>
    <col min="106" max="106" width="15.85546875" style="1" hidden="1" customWidth="1"/>
    <col min="107" max="107" width="15" style="1" hidden="1" customWidth="1"/>
    <col min="108" max="108" width="16" style="1" hidden="1" customWidth="1"/>
    <col min="109" max="111" width="15" style="1" hidden="1" customWidth="1"/>
    <col min="112" max="112" width="16.28515625" style="1" hidden="1" customWidth="1"/>
    <col min="113" max="113" width="15" style="1" hidden="1" customWidth="1"/>
    <col min="114" max="114" width="15.85546875" style="1" hidden="1" customWidth="1"/>
    <col min="115" max="117" width="15" style="1" hidden="1" customWidth="1"/>
    <col min="118" max="118" width="17" style="1" hidden="1" customWidth="1"/>
    <col min="119" max="119" width="15" style="1" hidden="1" customWidth="1"/>
    <col min="120" max="120" width="16.28515625" style="1" hidden="1" customWidth="1"/>
    <col min="121" max="123" width="15" style="1" hidden="1" customWidth="1"/>
    <col min="124" max="124" width="16" style="1" hidden="1" customWidth="1"/>
    <col min="125" max="129" width="15" style="1" hidden="1" customWidth="1"/>
    <col min="130" max="130" width="16.42578125" style="1" hidden="1" customWidth="1"/>
    <col min="131" max="135" width="15" style="1" hidden="1" customWidth="1"/>
    <col min="136" max="136" width="16.42578125" style="1" hidden="1" customWidth="1"/>
    <col min="137" max="141" width="15" style="1" hidden="1" customWidth="1"/>
    <col min="142" max="142" width="16.7109375" style="1" hidden="1" customWidth="1"/>
    <col min="143" max="147" width="15" style="1" hidden="1" customWidth="1"/>
    <col min="148" max="148" width="17.5703125" style="1" hidden="1" customWidth="1"/>
    <col min="149" max="153" width="15" style="1" hidden="1" customWidth="1"/>
    <col min="154" max="154" width="16.140625" style="1" hidden="1" customWidth="1"/>
    <col min="155" max="159" width="15" style="1" hidden="1" customWidth="1"/>
    <col min="160" max="160" width="16.42578125" style="1" hidden="1" customWidth="1"/>
    <col min="161" max="165" width="15" style="1" hidden="1" customWidth="1"/>
    <col min="166" max="166" width="16.85546875" style="1" hidden="1" customWidth="1"/>
    <col min="167" max="171" width="15" style="1" hidden="1" customWidth="1"/>
    <col min="172" max="172" width="16.85546875" style="1" hidden="1" customWidth="1"/>
    <col min="173" max="177" width="15" style="1" hidden="1" customWidth="1"/>
    <col min="178" max="178" width="16.42578125" style="1" hidden="1" customWidth="1"/>
    <col min="179" max="183" width="15" style="1" hidden="1" customWidth="1"/>
    <col min="184" max="184" width="17.140625" style="1" hidden="1" customWidth="1"/>
    <col min="185" max="189" width="15" style="1" hidden="1" customWidth="1"/>
    <col min="190" max="190" width="16.7109375" style="1" hidden="1" customWidth="1"/>
    <col min="191" max="191" width="15" style="1" hidden="1" customWidth="1"/>
    <col min="192" max="192" width="16.28515625" style="1" customWidth="1"/>
    <col min="193" max="193" width="20.85546875" style="1" customWidth="1"/>
    <col min="194" max="194" width="11" style="1" customWidth="1"/>
    <col min="195" max="195" width="0.28515625" style="1" hidden="1" customWidth="1"/>
    <col min="196" max="196" width="0.140625" style="1" customWidth="1"/>
    <col min="197" max="16384" width="15.28515625" style="1"/>
  </cols>
  <sheetData>
    <row r="1" spans="1:196" s="5" customFormat="1" ht="46.5" customHeight="1" x14ac:dyDescent="0.2">
      <c r="A1" s="110"/>
      <c r="B1" s="253" t="s">
        <v>194</v>
      </c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  <c r="AJ1" s="253"/>
      <c r="AK1" s="253"/>
      <c r="AL1" s="253"/>
      <c r="AM1" s="253"/>
      <c r="AN1" s="253"/>
      <c r="AO1" s="253"/>
      <c r="AP1" s="253"/>
      <c r="AQ1" s="253"/>
      <c r="AR1" s="253"/>
      <c r="AS1" s="253"/>
      <c r="AT1" s="253"/>
      <c r="AU1" s="253"/>
      <c r="AV1" s="253"/>
      <c r="AW1" s="253"/>
      <c r="AX1" s="253"/>
      <c r="AY1" s="253"/>
      <c r="AZ1" s="253"/>
      <c r="BA1" s="253"/>
      <c r="BB1" s="253"/>
      <c r="BC1" s="253"/>
      <c r="BD1" s="253"/>
      <c r="BE1" s="253"/>
      <c r="BF1" s="253"/>
      <c r="BG1" s="253"/>
      <c r="BH1" s="253"/>
      <c r="BI1" s="253"/>
      <c r="BJ1" s="253"/>
      <c r="BK1" s="253"/>
      <c r="BL1" s="253"/>
      <c r="BM1" s="253"/>
      <c r="BN1" s="253"/>
      <c r="BO1" s="253"/>
      <c r="BP1" s="253"/>
      <c r="BQ1" s="253"/>
      <c r="BR1" s="253"/>
      <c r="BS1" s="253"/>
      <c r="BT1" s="253"/>
      <c r="BU1" s="253"/>
      <c r="BV1" s="253"/>
      <c r="BW1" s="253"/>
      <c r="BX1" s="253"/>
      <c r="BY1" s="253"/>
      <c r="BZ1" s="253"/>
      <c r="CA1" s="253"/>
      <c r="CB1" s="253"/>
      <c r="CC1" s="253"/>
      <c r="CD1" s="253"/>
      <c r="CE1" s="253"/>
      <c r="CF1" s="253"/>
      <c r="CG1" s="253"/>
      <c r="CH1" s="253"/>
      <c r="CI1" s="253"/>
      <c r="CJ1" s="253"/>
      <c r="CK1" s="253"/>
      <c r="CL1" s="253"/>
      <c r="CM1" s="253"/>
      <c r="CN1" s="253"/>
      <c r="CO1" s="253"/>
      <c r="CP1" s="253"/>
      <c r="CQ1" s="253"/>
      <c r="CR1" s="253"/>
      <c r="CS1" s="253"/>
      <c r="CT1" s="253"/>
      <c r="CU1" s="253"/>
      <c r="CV1" s="253"/>
      <c r="CW1" s="253"/>
      <c r="CX1" s="253"/>
      <c r="CY1" s="253"/>
      <c r="CZ1" s="253"/>
      <c r="DA1" s="253"/>
      <c r="DB1" s="253"/>
      <c r="DC1" s="253"/>
      <c r="DD1" s="253"/>
      <c r="DE1" s="253"/>
      <c r="DF1" s="253"/>
      <c r="DG1" s="253"/>
      <c r="DH1" s="253"/>
      <c r="DI1" s="253"/>
      <c r="DJ1" s="253"/>
      <c r="DK1" s="253"/>
      <c r="DL1" s="253"/>
      <c r="DM1" s="253"/>
      <c r="DN1" s="253"/>
      <c r="DO1" s="253"/>
      <c r="DP1" s="253"/>
      <c r="DQ1" s="253"/>
      <c r="DR1" s="253"/>
      <c r="DS1" s="253"/>
      <c r="DT1" s="253"/>
      <c r="DU1" s="253"/>
      <c r="DV1" s="253"/>
      <c r="DW1" s="253"/>
      <c r="DX1" s="253"/>
      <c r="DY1" s="253"/>
      <c r="DZ1" s="253"/>
      <c r="EA1" s="253"/>
      <c r="EB1" s="253"/>
      <c r="EC1" s="253"/>
      <c r="ED1" s="253"/>
      <c r="EE1" s="253"/>
      <c r="EF1" s="253"/>
      <c r="EG1" s="253"/>
      <c r="EH1" s="253"/>
      <c r="EI1" s="253"/>
      <c r="EJ1" s="253"/>
      <c r="EK1" s="253"/>
      <c r="EL1" s="253"/>
      <c r="EM1" s="253"/>
      <c r="EN1" s="253"/>
      <c r="EO1" s="253"/>
      <c r="EP1" s="253"/>
      <c r="EQ1" s="253"/>
      <c r="ER1" s="253"/>
      <c r="ES1" s="253"/>
      <c r="ET1" s="253"/>
      <c r="EU1" s="253"/>
      <c r="EV1" s="253"/>
      <c r="EW1" s="253"/>
      <c r="EX1" s="253"/>
      <c r="EY1" s="253"/>
      <c r="EZ1" s="253"/>
      <c r="FA1" s="253"/>
      <c r="FB1" s="253"/>
      <c r="FC1" s="253"/>
      <c r="FD1" s="253"/>
      <c r="FE1" s="253"/>
      <c r="FF1" s="253"/>
      <c r="FG1" s="253"/>
      <c r="FH1" s="253"/>
      <c r="FI1" s="253"/>
      <c r="FJ1" s="253"/>
      <c r="FK1" s="253"/>
      <c r="FL1" s="253"/>
      <c r="FM1" s="253"/>
      <c r="FN1" s="253"/>
      <c r="FO1" s="253"/>
      <c r="FP1" s="253"/>
      <c r="FQ1" s="253"/>
      <c r="FR1" s="253"/>
      <c r="FS1" s="253"/>
      <c r="FT1" s="253"/>
      <c r="FU1" s="253"/>
      <c r="FV1" s="253"/>
      <c r="FW1" s="253"/>
      <c r="FX1" s="253"/>
      <c r="FY1" s="253"/>
      <c r="FZ1" s="253"/>
      <c r="GA1" s="253"/>
      <c r="GB1" s="253"/>
      <c r="GC1" s="253"/>
      <c r="GD1" s="253"/>
      <c r="GE1" s="253"/>
      <c r="GF1" s="253"/>
      <c r="GG1" s="253"/>
      <c r="GH1" s="253"/>
      <c r="GI1" s="253"/>
      <c r="GJ1" s="253"/>
      <c r="GK1" s="253"/>
    </row>
    <row r="2" spans="1:196" s="5" customFormat="1" ht="16.5" thickBot="1" x14ac:dyDescent="0.25"/>
    <row r="3" spans="1:196" s="32" customFormat="1" ht="34.5" customHeight="1" thickBot="1" x14ac:dyDescent="0.25">
      <c r="A3" s="242" t="s">
        <v>7</v>
      </c>
      <c r="B3" s="243" t="s">
        <v>58</v>
      </c>
      <c r="C3" s="246" t="s">
        <v>9</v>
      </c>
      <c r="D3" s="247"/>
      <c r="E3" s="247"/>
      <c r="F3" s="248"/>
      <c r="G3" s="224" t="s">
        <v>59</v>
      </c>
      <c r="H3" s="225"/>
      <c r="I3" s="225"/>
      <c r="J3" s="226"/>
      <c r="K3" s="232" t="s">
        <v>77</v>
      </c>
      <c r="L3" s="66" t="s">
        <v>51</v>
      </c>
      <c r="M3" s="229" t="s">
        <v>73</v>
      </c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/>
      <c r="AM3" s="230"/>
      <c r="AN3" s="230"/>
      <c r="AO3" s="230"/>
      <c r="AP3" s="230"/>
      <c r="AQ3" s="230"/>
      <c r="AR3" s="230"/>
      <c r="AS3" s="230"/>
      <c r="AT3" s="230"/>
      <c r="AU3" s="230"/>
      <c r="AV3" s="230"/>
      <c r="AW3" s="230"/>
      <c r="AX3" s="230"/>
      <c r="AY3" s="230"/>
      <c r="AZ3" s="230"/>
      <c r="BA3" s="230"/>
      <c r="BB3" s="230"/>
      <c r="BC3" s="230"/>
      <c r="BD3" s="230"/>
      <c r="BE3" s="230"/>
      <c r="BF3" s="230"/>
      <c r="BG3" s="230"/>
      <c r="BH3" s="230"/>
      <c r="BI3" s="230"/>
      <c r="BJ3" s="230"/>
      <c r="BK3" s="230"/>
      <c r="BL3" s="230"/>
      <c r="BM3" s="230"/>
      <c r="BN3" s="230"/>
      <c r="BO3" s="230"/>
      <c r="BP3" s="230"/>
      <c r="BQ3" s="230"/>
      <c r="BR3" s="230"/>
      <c r="BS3" s="231"/>
      <c r="BT3" s="111"/>
      <c r="BU3" s="111"/>
      <c r="BV3" s="111"/>
      <c r="BW3" s="111"/>
      <c r="BX3" s="111"/>
      <c r="BY3" s="111"/>
      <c r="BZ3" s="111"/>
      <c r="CA3" s="111"/>
      <c r="CB3" s="111"/>
      <c r="CC3" s="111"/>
      <c r="CD3" s="111"/>
      <c r="CE3" s="111"/>
      <c r="CF3" s="111"/>
      <c r="CG3" s="111"/>
      <c r="CH3" s="111"/>
      <c r="CI3" s="111"/>
      <c r="CJ3" s="111"/>
      <c r="CK3" s="111"/>
      <c r="CL3" s="111"/>
      <c r="CM3" s="111"/>
      <c r="CN3" s="111"/>
      <c r="CO3" s="111"/>
      <c r="CP3" s="111"/>
      <c r="CQ3" s="111"/>
      <c r="CR3" s="111"/>
      <c r="CS3" s="111"/>
      <c r="CT3" s="111"/>
      <c r="CU3" s="111"/>
      <c r="CV3" s="111"/>
      <c r="CW3" s="111"/>
      <c r="CX3" s="111"/>
      <c r="CY3" s="111"/>
      <c r="CZ3" s="111"/>
      <c r="DA3" s="111"/>
      <c r="DB3" s="111"/>
      <c r="DC3" s="111"/>
      <c r="DD3" s="111"/>
      <c r="DE3" s="111"/>
      <c r="DF3" s="111"/>
      <c r="DG3" s="111"/>
      <c r="DH3" s="111"/>
      <c r="DI3" s="111"/>
      <c r="DJ3" s="111"/>
      <c r="DK3" s="111"/>
      <c r="DL3" s="111"/>
      <c r="DM3" s="111"/>
      <c r="DN3" s="111"/>
      <c r="DO3" s="111"/>
      <c r="DP3" s="111"/>
      <c r="DQ3" s="111"/>
      <c r="DR3" s="111"/>
      <c r="DS3" s="111"/>
      <c r="DT3" s="111"/>
      <c r="DU3" s="111"/>
      <c r="DV3" s="111"/>
      <c r="DW3" s="111"/>
      <c r="DX3" s="111"/>
      <c r="DY3" s="111"/>
      <c r="DZ3" s="111"/>
      <c r="EA3" s="111"/>
      <c r="EB3" s="111"/>
      <c r="EC3" s="111"/>
      <c r="ED3" s="111"/>
      <c r="EE3" s="111"/>
      <c r="EF3" s="111"/>
      <c r="EG3" s="111"/>
      <c r="EH3" s="111"/>
      <c r="EI3" s="111"/>
      <c r="EJ3" s="111"/>
      <c r="EK3" s="111"/>
      <c r="EL3" s="111"/>
      <c r="EM3" s="111"/>
      <c r="EN3" s="111"/>
      <c r="EO3" s="111"/>
      <c r="EP3" s="111"/>
      <c r="EQ3" s="111"/>
      <c r="ER3" s="111"/>
      <c r="ES3" s="111"/>
      <c r="ET3" s="111"/>
      <c r="EU3" s="111"/>
      <c r="EV3" s="111"/>
      <c r="EW3" s="111"/>
      <c r="EX3" s="111"/>
      <c r="EY3" s="111"/>
      <c r="EZ3" s="111"/>
      <c r="FA3" s="111"/>
      <c r="FB3" s="111"/>
      <c r="FC3" s="111"/>
      <c r="FD3" s="111"/>
      <c r="FE3" s="111"/>
      <c r="FF3" s="111"/>
      <c r="FG3" s="111"/>
      <c r="FH3" s="111"/>
      <c r="FI3" s="111"/>
      <c r="FJ3" s="111"/>
      <c r="FK3" s="111"/>
      <c r="FL3" s="111"/>
      <c r="FM3" s="111"/>
      <c r="FN3" s="111"/>
      <c r="FO3" s="111"/>
      <c r="FP3" s="111"/>
      <c r="FQ3" s="111"/>
      <c r="FR3" s="111"/>
      <c r="FS3" s="111"/>
      <c r="FT3" s="111"/>
      <c r="FU3" s="111"/>
      <c r="FV3" s="111"/>
      <c r="FW3" s="111"/>
      <c r="FX3" s="111"/>
      <c r="FY3" s="111"/>
      <c r="FZ3" s="111"/>
      <c r="GA3" s="111"/>
      <c r="GB3" s="111"/>
      <c r="GC3" s="111"/>
      <c r="GD3" s="111"/>
      <c r="GE3" s="111"/>
      <c r="GF3" s="111"/>
      <c r="GG3" s="111"/>
      <c r="GH3" s="111"/>
      <c r="GI3" s="111"/>
      <c r="GJ3" s="260" t="s">
        <v>78</v>
      </c>
      <c r="GK3" s="257" t="s">
        <v>79</v>
      </c>
      <c r="GL3" s="263" t="s">
        <v>76</v>
      </c>
      <c r="GM3" s="257" t="s">
        <v>192</v>
      </c>
      <c r="GN3" s="254" t="s">
        <v>193</v>
      </c>
    </row>
    <row r="4" spans="1:196" s="22" customFormat="1" ht="29.25" customHeight="1" x14ac:dyDescent="0.2">
      <c r="A4" s="242"/>
      <c r="B4" s="244"/>
      <c r="C4" s="251" t="s">
        <v>10</v>
      </c>
      <c r="D4" s="252"/>
      <c r="E4" s="251" t="s">
        <v>11</v>
      </c>
      <c r="F4" s="252"/>
      <c r="G4" s="236" t="s">
        <v>184</v>
      </c>
      <c r="H4" s="238" t="s">
        <v>12</v>
      </c>
      <c r="I4" s="238" t="s">
        <v>63</v>
      </c>
      <c r="J4" s="227" t="s">
        <v>66</v>
      </c>
      <c r="K4" s="233"/>
      <c r="L4" s="240" t="s">
        <v>74</v>
      </c>
      <c r="M4" s="221" t="s">
        <v>13</v>
      </c>
      <c r="N4" s="222"/>
      <c r="O4" s="222"/>
      <c r="P4" s="222"/>
      <c r="Q4" s="235"/>
      <c r="R4" s="221" t="s">
        <v>14</v>
      </c>
      <c r="S4" s="222"/>
      <c r="T4" s="222"/>
      <c r="U4" s="222"/>
      <c r="V4" s="222"/>
      <c r="W4" s="235"/>
      <c r="X4" s="221" t="s">
        <v>15</v>
      </c>
      <c r="Y4" s="222"/>
      <c r="Z4" s="222"/>
      <c r="AA4" s="222"/>
      <c r="AB4" s="222"/>
      <c r="AC4" s="235"/>
      <c r="AD4" s="221" t="s">
        <v>16</v>
      </c>
      <c r="AE4" s="222"/>
      <c r="AF4" s="222"/>
      <c r="AG4" s="222"/>
      <c r="AH4" s="222"/>
      <c r="AI4" s="235"/>
      <c r="AJ4" s="221" t="s">
        <v>17</v>
      </c>
      <c r="AK4" s="222"/>
      <c r="AL4" s="222"/>
      <c r="AM4" s="222"/>
      <c r="AN4" s="222"/>
      <c r="AO4" s="235"/>
      <c r="AP4" s="221" t="s">
        <v>18</v>
      </c>
      <c r="AQ4" s="222"/>
      <c r="AR4" s="222"/>
      <c r="AS4" s="222"/>
      <c r="AT4" s="222"/>
      <c r="AU4" s="235"/>
      <c r="AV4" s="221" t="s">
        <v>19</v>
      </c>
      <c r="AW4" s="222"/>
      <c r="AX4" s="222"/>
      <c r="AY4" s="222"/>
      <c r="AZ4" s="222"/>
      <c r="BA4" s="235"/>
      <c r="BB4" s="221" t="s">
        <v>20</v>
      </c>
      <c r="BC4" s="222"/>
      <c r="BD4" s="222"/>
      <c r="BE4" s="222"/>
      <c r="BF4" s="222"/>
      <c r="BG4" s="235"/>
      <c r="BH4" s="221" t="s">
        <v>21</v>
      </c>
      <c r="BI4" s="222"/>
      <c r="BJ4" s="222"/>
      <c r="BK4" s="222"/>
      <c r="BL4" s="222"/>
      <c r="BM4" s="235"/>
      <c r="BN4" s="221" t="s">
        <v>22</v>
      </c>
      <c r="BO4" s="222"/>
      <c r="BP4" s="222"/>
      <c r="BQ4" s="222"/>
      <c r="BR4" s="222"/>
      <c r="BS4" s="223"/>
      <c r="BT4" s="221" t="s">
        <v>81</v>
      </c>
      <c r="BU4" s="222"/>
      <c r="BV4" s="222"/>
      <c r="BW4" s="222"/>
      <c r="BX4" s="222"/>
      <c r="BY4" s="223"/>
      <c r="BZ4" s="221" t="s">
        <v>84</v>
      </c>
      <c r="CA4" s="222"/>
      <c r="CB4" s="222"/>
      <c r="CC4" s="222"/>
      <c r="CD4" s="222"/>
      <c r="CE4" s="223"/>
      <c r="CF4" s="221" t="s">
        <v>85</v>
      </c>
      <c r="CG4" s="222"/>
      <c r="CH4" s="222"/>
      <c r="CI4" s="222"/>
      <c r="CJ4" s="222"/>
      <c r="CK4" s="223"/>
      <c r="CL4" s="221" t="s">
        <v>90</v>
      </c>
      <c r="CM4" s="222"/>
      <c r="CN4" s="222"/>
      <c r="CO4" s="222"/>
      <c r="CP4" s="222"/>
      <c r="CQ4" s="223"/>
      <c r="CR4" s="221" t="s">
        <v>93</v>
      </c>
      <c r="CS4" s="222"/>
      <c r="CT4" s="222"/>
      <c r="CU4" s="222"/>
      <c r="CV4" s="222"/>
      <c r="CW4" s="223"/>
      <c r="CX4" s="221" t="s">
        <v>96</v>
      </c>
      <c r="CY4" s="222"/>
      <c r="CZ4" s="222"/>
      <c r="DA4" s="222"/>
      <c r="DB4" s="222"/>
      <c r="DC4" s="223"/>
      <c r="DD4" s="221" t="s">
        <v>99</v>
      </c>
      <c r="DE4" s="222"/>
      <c r="DF4" s="222"/>
      <c r="DG4" s="222"/>
      <c r="DH4" s="222"/>
      <c r="DI4" s="223"/>
      <c r="DJ4" s="221" t="s">
        <v>102</v>
      </c>
      <c r="DK4" s="222"/>
      <c r="DL4" s="222"/>
      <c r="DM4" s="222"/>
      <c r="DN4" s="222"/>
      <c r="DO4" s="223"/>
      <c r="DP4" s="221" t="s">
        <v>105</v>
      </c>
      <c r="DQ4" s="222"/>
      <c r="DR4" s="222"/>
      <c r="DS4" s="222"/>
      <c r="DT4" s="222"/>
      <c r="DU4" s="223"/>
      <c r="DV4" s="221" t="s">
        <v>108</v>
      </c>
      <c r="DW4" s="222"/>
      <c r="DX4" s="222"/>
      <c r="DY4" s="222"/>
      <c r="DZ4" s="222"/>
      <c r="EA4" s="223"/>
      <c r="EB4" s="221" t="s">
        <v>130</v>
      </c>
      <c r="EC4" s="222"/>
      <c r="ED4" s="222"/>
      <c r="EE4" s="222"/>
      <c r="EF4" s="222"/>
      <c r="EG4" s="223"/>
      <c r="EH4" s="221" t="s">
        <v>134</v>
      </c>
      <c r="EI4" s="222"/>
      <c r="EJ4" s="222"/>
      <c r="EK4" s="222"/>
      <c r="EL4" s="222"/>
      <c r="EM4" s="223"/>
      <c r="EN4" s="221" t="s">
        <v>138</v>
      </c>
      <c r="EO4" s="222"/>
      <c r="EP4" s="222"/>
      <c r="EQ4" s="222"/>
      <c r="ER4" s="222"/>
      <c r="ES4" s="223"/>
      <c r="ET4" s="221" t="s">
        <v>142</v>
      </c>
      <c r="EU4" s="222"/>
      <c r="EV4" s="222"/>
      <c r="EW4" s="222"/>
      <c r="EX4" s="222"/>
      <c r="EY4" s="223"/>
      <c r="EZ4" s="221" t="s">
        <v>146</v>
      </c>
      <c r="FA4" s="222"/>
      <c r="FB4" s="222"/>
      <c r="FC4" s="222"/>
      <c r="FD4" s="222"/>
      <c r="FE4" s="223"/>
      <c r="FF4" s="221" t="s">
        <v>150</v>
      </c>
      <c r="FG4" s="222"/>
      <c r="FH4" s="222"/>
      <c r="FI4" s="222"/>
      <c r="FJ4" s="222"/>
      <c r="FK4" s="223"/>
      <c r="FL4" s="221" t="s">
        <v>154</v>
      </c>
      <c r="FM4" s="222"/>
      <c r="FN4" s="222"/>
      <c r="FO4" s="222"/>
      <c r="FP4" s="222"/>
      <c r="FQ4" s="223"/>
      <c r="FR4" s="221" t="s">
        <v>158</v>
      </c>
      <c r="FS4" s="222"/>
      <c r="FT4" s="222"/>
      <c r="FU4" s="222"/>
      <c r="FV4" s="222"/>
      <c r="FW4" s="223"/>
      <c r="FX4" s="221" t="s">
        <v>162</v>
      </c>
      <c r="FY4" s="222"/>
      <c r="FZ4" s="222"/>
      <c r="GA4" s="222"/>
      <c r="GB4" s="222"/>
      <c r="GC4" s="223"/>
      <c r="GD4" s="221" t="s">
        <v>165</v>
      </c>
      <c r="GE4" s="222"/>
      <c r="GF4" s="222"/>
      <c r="GG4" s="222"/>
      <c r="GH4" s="222"/>
      <c r="GI4" s="223"/>
      <c r="GJ4" s="261"/>
      <c r="GK4" s="258"/>
      <c r="GL4" s="264"/>
      <c r="GM4" s="258"/>
      <c r="GN4" s="255"/>
    </row>
    <row r="5" spans="1:196" s="22" customFormat="1" ht="153.75" customHeight="1" thickBot="1" x14ac:dyDescent="0.25">
      <c r="A5" s="242"/>
      <c r="B5" s="245"/>
      <c r="C5" s="249" t="s">
        <v>185</v>
      </c>
      <c r="D5" s="250"/>
      <c r="E5" s="249" t="s">
        <v>71</v>
      </c>
      <c r="F5" s="250"/>
      <c r="G5" s="237"/>
      <c r="H5" s="239"/>
      <c r="I5" s="239"/>
      <c r="J5" s="228"/>
      <c r="K5" s="234"/>
      <c r="L5" s="241"/>
      <c r="M5" s="63" t="s">
        <v>57</v>
      </c>
      <c r="N5" s="64" t="s">
        <v>120</v>
      </c>
      <c r="O5" s="64" t="s">
        <v>64</v>
      </c>
      <c r="P5" s="64" t="s">
        <v>75</v>
      </c>
      <c r="Q5" s="65" t="s">
        <v>23</v>
      </c>
      <c r="R5" s="63" t="s">
        <v>24</v>
      </c>
      <c r="S5" s="64" t="s">
        <v>121</v>
      </c>
      <c r="T5" s="64" t="s">
        <v>57</v>
      </c>
      <c r="U5" s="64" t="s">
        <v>64</v>
      </c>
      <c r="V5" s="64" t="s">
        <v>75</v>
      </c>
      <c r="W5" s="65" t="s">
        <v>25</v>
      </c>
      <c r="X5" s="63" t="s">
        <v>26</v>
      </c>
      <c r="Y5" s="64" t="s">
        <v>122</v>
      </c>
      <c r="Z5" s="64" t="s">
        <v>57</v>
      </c>
      <c r="AA5" s="64" t="s">
        <v>64</v>
      </c>
      <c r="AB5" s="64" t="s">
        <v>75</v>
      </c>
      <c r="AC5" s="65" t="s">
        <v>27</v>
      </c>
      <c r="AD5" s="63" t="s">
        <v>28</v>
      </c>
      <c r="AE5" s="64" t="s">
        <v>123</v>
      </c>
      <c r="AF5" s="64" t="s">
        <v>57</v>
      </c>
      <c r="AG5" s="64" t="s">
        <v>64</v>
      </c>
      <c r="AH5" s="64" t="s">
        <v>75</v>
      </c>
      <c r="AI5" s="65" t="s">
        <v>29</v>
      </c>
      <c r="AJ5" s="63" t="s">
        <v>30</v>
      </c>
      <c r="AK5" s="64" t="s">
        <v>124</v>
      </c>
      <c r="AL5" s="64" t="s">
        <v>57</v>
      </c>
      <c r="AM5" s="64" t="s">
        <v>64</v>
      </c>
      <c r="AN5" s="64" t="s">
        <v>75</v>
      </c>
      <c r="AO5" s="65" t="s">
        <v>31</v>
      </c>
      <c r="AP5" s="63" t="s">
        <v>32</v>
      </c>
      <c r="AQ5" s="64" t="s">
        <v>125</v>
      </c>
      <c r="AR5" s="64" t="s">
        <v>57</v>
      </c>
      <c r="AS5" s="64" t="s">
        <v>64</v>
      </c>
      <c r="AT5" s="64" t="s">
        <v>75</v>
      </c>
      <c r="AU5" s="65" t="s">
        <v>33</v>
      </c>
      <c r="AV5" s="63" t="s">
        <v>34</v>
      </c>
      <c r="AW5" s="64" t="s">
        <v>126</v>
      </c>
      <c r="AX5" s="64" t="s">
        <v>57</v>
      </c>
      <c r="AY5" s="64" t="s">
        <v>64</v>
      </c>
      <c r="AZ5" s="64" t="s">
        <v>75</v>
      </c>
      <c r="BA5" s="65" t="s">
        <v>35</v>
      </c>
      <c r="BB5" s="63" t="s">
        <v>36</v>
      </c>
      <c r="BC5" s="64" t="s">
        <v>127</v>
      </c>
      <c r="BD5" s="64" t="s">
        <v>57</v>
      </c>
      <c r="BE5" s="64" t="s">
        <v>64</v>
      </c>
      <c r="BF5" s="64" t="s">
        <v>75</v>
      </c>
      <c r="BG5" s="65" t="s">
        <v>37</v>
      </c>
      <c r="BH5" s="63" t="s">
        <v>38</v>
      </c>
      <c r="BI5" s="64" t="s">
        <v>128</v>
      </c>
      <c r="BJ5" s="64" t="s">
        <v>57</v>
      </c>
      <c r="BK5" s="64" t="s">
        <v>64</v>
      </c>
      <c r="BL5" s="64" t="s">
        <v>75</v>
      </c>
      <c r="BM5" s="65" t="s">
        <v>39</v>
      </c>
      <c r="BN5" s="63" t="s">
        <v>40</v>
      </c>
      <c r="BO5" s="64" t="s">
        <v>129</v>
      </c>
      <c r="BP5" s="64" t="s">
        <v>57</v>
      </c>
      <c r="BQ5" s="64" t="s">
        <v>64</v>
      </c>
      <c r="BR5" s="64" t="s">
        <v>75</v>
      </c>
      <c r="BS5" s="79" t="s">
        <v>41</v>
      </c>
      <c r="BT5" s="63" t="s">
        <v>82</v>
      </c>
      <c r="BU5" s="64" t="s">
        <v>111</v>
      </c>
      <c r="BV5" s="64" t="s">
        <v>57</v>
      </c>
      <c r="BW5" s="64" t="s">
        <v>64</v>
      </c>
      <c r="BX5" s="64" t="s">
        <v>75</v>
      </c>
      <c r="BY5" s="79" t="s">
        <v>83</v>
      </c>
      <c r="BZ5" s="63" t="s">
        <v>86</v>
      </c>
      <c r="CA5" s="64" t="s">
        <v>112</v>
      </c>
      <c r="CB5" s="64" t="s">
        <v>57</v>
      </c>
      <c r="CC5" s="64" t="s">
        <v>64</v>
      </c>
      <c r="CD5" s="64" t="s">
        <v>75</v>
      </c>
      <c r="CE5" s="79" t="s">
        <v>87</v>
      </c>
      <c r="CF5" s="63" t="s">
        <v>88</v>
      </c>
      <c r="CG5" s="64" t="s">
        <v>113</v>
      </c>
      <c r="CH5" s="64" t="s">
        <v>57</v>
      </c>
      <c r="CI5" s="64" t="s">
        <v>64</v>
      </c>
      <c r="CJ5" s="64" t="s">
        <v>75</v>
      </c>
      <c r="CK5" s="79" t="s">
        <v>89</v>
      </c>
      <c r="CL5" s="63" t="s">
        <v>91</v>
      </c>
      <c r="CM5" s="64" t="s">
        <v>114</v>
      </c>
      <c r="CN5" s="64" t="s">
        <v>57</v>
      </c>
      <c r="CO5" s="64" t="s">
        <v>64</v>
      </c>
      <c r="CP5" s="64" t="s">
        <v>75</v>
      </c>
      <c r="CQ5" s="79" t="s">
        <v>92</v>
      </c>
      <c r="CR5" s="63" t="s">
        <v>94</v>
      </c>
      <c r="CS5" s="64" t="s">
        <v>115</v>
      </c>
      <c r="CT5" s="64" t="s">
        <v>57</v>
      </c>
      <c r="CU5" s="64" t="s">
        <v>64</v>
      </c>
      <c r="CV5" s="64" t="s">
        <v>75</v>
      </c>
      <c r="CW5" s="79" t="s">
        <v>95</v>
      </c>
      <c r="CX5" s="63" t="s">
        <v>97</v>
      </c>
      <c r="CY5" s="64" t="s">
        <v>116</v>
      </c>
      <c r="CZ5" s="64" t="s">
        <v>57</v>
      </c>
      <c r="DA5" s="64" t="s">
        <v>64</v>
      </c>
      <c r="DB5" s="64" t="s">
        <v>75</v>
      </c>
      <c r="DC5" s="79" t="s">
        <v>98</v>
      </c>
      <c r="DD5" s="63" t="s">
        <v>100</v>
      </c>
      <c r="DE5" s="64" t="s">
        <v>117</v>
      </c>
      <c r="DF5" s="64" t="s">
        <v>57</v>
      </c>
      <c r="DG5" s="64" t="s">
        <v>64</v>
      </c>
      <c r="DH5" s="64" t="s">
        <v>75</v>
      </c>
      <c r="DI5" s="79" t="s">
        <v>101</v>
      </c>
      <c r="DJ5" s="63" t="s">
        <v>103</v>
      </c>
      <c r="DK5" s="64" t="s">
        <v>65</v>
      </c>
      <c r="DL5" s="64" t="s">
        <v>57</v>
      </c>
      <c r="DM5" s="64" t="s">
        <v>64</v>
      </c>
      <c r="DN5" s="64" t="s">
        <v>75</v>
      </c>
      <c r="DO5" s="79" t="s">
        <v>104</v>
      </c>
      <c r="DP5" s="63" t="s">
        <v>106</v>
      </c>
      <c r="DQ5" s="64" t="s">
        <v>118</v>
      </c>
      <c r="DR5" s="64" t="s">
        <v>57</v>
      </c>
      <c r="DS5" s="64" t="s">
        <v>64</v>
      </c>
      <c r="DT5" s="64" t="s">
        <v>75</v>
      </c>
      <c r="DU5" s="79" t="s">
        <v>107</v>
      </c>
      <c r="DV5" s="63" t="s">
        <v>110</v>
      </c>
      <c r="DW5" s="64" t="s">
        <v>119</v>
      </c>
      <c r="DX5" s="64" t="s">
        <v>57</v>
      </c>
      <c r="DY5" s="64" t="s">
        <v>64</v>
      </c>
      <c r="DZ5" s="64" t="s">
        <v>75</v>
      </c>
      <c r="EA5" s="79" t="s">
        <v>109</v>
      </c>
      <c r="EB5" s="63" t="s">
        <v>131</v>
      </c>
      <c r="EC5" s="64" t="s">
        <v>132</v>
      </c>
      <c r="ED5" s="64" t="s">
        <v>57</v>
      </c>
      <c r="EE5" s="64" t="s">
        <v>64</v>
      </c>
      <c r="EF5" s="64" t="s">
        <v>75</v>
      </c>
      <c r="EG5" s="79" t="s">
        <v>133</v>
      </c>
      <c r="EH5" s="63" t="s">
        <v>135</v>
      </c>
      <c r="EI5" s="64" t="s">
        <v>136</v>
      </c>
      <c r="EJ5" s="64" t="s">
        <v>57</v>
      </c>
      <c r="EK5" s="64" t="s">
        <v>64</v>
      </c>
      <c r="EL5" s="64" t="s">
        <v>75</v>
      </c>
      <c r="EM5" s="79" t="s">
        <v>137</v>
      </c>
      <c r="EN5" s="63" t="s">
        <v>139</v>
      </c>
      <c r="EO5" s="64" t="s">
        <v>140</v>
      </c>
      <c r="EP5" s="64" t="s">
        <v>57</v>
      </c>
      <c r="EQ5" s="64" t="s">
        <v>64</v>
      </c>
      <c r="ER5" s="64" t="s">
        <v>75</v>
      </c>
      <c r="ES5" s="79" t="s">
        <v>141</v>
      </c>
      <c r="ET5" s="63" t="s">
        <v>143</v>
      </c>
      <c r="EU5" s="64" t="s">
        <v>144</v>
      </c>
      <c r="EV5" s="64" t="s">
        <v>57</v>
      </c>
      <c r="EW5" s="64" t="s">
        <v>64</v>
      </c>
      <c r="EX5" s="64" t="s">
        <v>75</v>
      </c>
      <c r="EY5" s="79" t="s">
        <v>145</v>
      </c>
      <c r="EZ5" s="63" t="s">
        <v>147</v>
      </c>
      <c r="FA5" s="64" t="s">
        <v>148</v>
      </c>
      <c r="FB5" s="64" t="s">
        <v>57</v>
      </c>
      <c r="FC5" s="64" t="s">
        <v>64</v>
      </c>
      <c r="FD5" s="64" t="s">
        <v>75</v>
      </c>
      <c r="FE5" s="79" t="s">
        <v>149</v>
      </c>
      <c r="FF5" s="63" t="s">
        <v>151</v>
      </c>
      <c r="FG5" s="64" t="s">
        <v>152</v>
      </c>
      <c r="FH5" s="64" t="s">
        <v>57</v>
      </c>
      <c r="FI5" s="64" t="s">
        <v>64</v>
      </c>
      <c r="FJ5" s="64" t="s">
        <v>75</v>
      </c>
      <c r="FK5" s="79" t="s">
        <v>153</v>
      </c>
      <c r="FL5" s="63" t="s">
        <v>155</v>
      </c>
      <c r="FM5" s="64" t="s">
        <v>156</v>
      </c>
      <c r="FN5" s="64" t="s">
        <v>57</v>
      </c>
      <c r="FO5" s="64" t="s">
        <v>64</v>
      </c>
      <c r="FP5" s="64" t="s">
        <v>75</v>
      </c>
      <c r="FQ5" s="79" t="s">
        <v>157</v>
      </c>
      <c r="FR5" s="63" t="s">
        <v>159</v>
      </c>
      <c r="FS5" s="64" t="s">
        <v>160</v>
      </c>
      <c r="FT5" s="64" t="s">
        <v>57</v>
      </c>
      <c r="FU5" s="64" t="s">
        <v>64</v>
      </c>
      <c r="FV5" s="64" t="s">
        <v>75</v>
      </c>
      <c r="FW5" s="79" t="s">
        <v>161</v>
      </c>
      <c r="FX5" s="63" t="s">
        <v>163</v>
      </c>
      <c r="FY5" s="64" t="s">
        <v>167</v>
      </c>
      <c r="FZ5" s="64" t="s">
        <v>57</v>
      </c>
      <c r="GA5" s="64" t="s">
        <v>64</v>
      </c>
      <c r="GB5" s="64" t="s">
        <v>75</v>
      </c>
      <c r="GC5" s="79" t="s">
        <v>164</v>
      </c>
      <c r="GD5" s="63" t="s">
        <v>166</v>
      </c>
      <c r="GE5" s="64" t="s">
        <v>168</v>
      </c>
      <c r="GF5" s="64" t="s">
        <v>57</v>
      </c>
      <c r="GG5" s="64" t="s">
        <v>64</v>
      </c>
      <c r="GH5" s="64" t="s">
        <v>75</v>
      </c>
      <c r="GI5" s="79" t="s">
        <v>169</v>
      </c>
      <c r="GJ5" s="262"/>
      <c r="GK5" s="259"/>
      <c r="GL5" s="265"/>
      <c r="GM5" s="259"/>
      <c r="GN5" s="256"/>
    </row>
    <row r="6" spans="1:196" s="22" customFormat="1" ht="158.25" thickBot="1" x14ac:dyDescent="0.25">
      <c r="A6" s="242"/>
      <c r="B6" s="90" t="s">
        <v>42</v>
      </c>
      <c r="C6" s="68" t="s">
        <v>43</v>
      </c>
      <c r="D6" s="69" t="s">
        <v>44</v>
      </c>
      <c r="E6" s="68" t="s">
        <v>45</v>
      </c>
      <c r="F6" s="69" t="s">
        <v>46</v>
      </c>
      <c r="G6" s="62" t="s">
        <v>1</v>
      </c>
      <c r="H6" s="61" t="s">
        <v>2</v>
      </c>
      <c r="I6" s="51" t="s">
        <v>70</v>
      </c>
      <c r="J6" s="97" t="s">
        <v>68</v>
      </c>
      <c r="K6" s="102" t="s">
        <v>47</v>
      </c>
      <c r="L6" s="67" t="s">
        <v>48</v>
      </c>
      <c r="M6" s="68" t="s">
        <v>47</v>
      </c>
      <c r="N6" s="61" t="s">
        <v>55</v>
      </c>
      <c r="O6" s="61" t="s">
        <v>54</v>
      </c>
      <c r="P6" s="61" t="s">
        <v>53</v>
      </c>
      <c r="Q6" s="69" t="s">
        <v>52</v>
      </c>
      <c r="R6" s="68" t="s">
        <v>46</v>
      </c>
      <c r="S6" s="61" t="s">
        <v>55</v>
      </c>
      <c r="T6" s="61" t="s">
        <v>47</v>
      </c>
      <c r="U6" s="61" t="s">
        <v>54</v>
      </c>
      <c r="V6" s="61" t="s">
        <v>53</v>
      </c>
      <c r="W6" s="69" t="s">
        <v>52</v>
      </c>
      <c r="X6" s="68" t="s">
        <v>46</v>
      </c>
      <c r="Y6" s="61" t="s">
        <v>55</v>
      </c>
      <c r="Z6" s="61" t="s">
        <v>47</v>
      </c>
      <c r="AA6" s="61" t="s">
        <v>54</v>
      </c>
      <c r="AB6" s="61" t="s">
        <v>53</v>
      </c>
      <c r="AC6" s="69" t="s">
        <v>52</v>
      </c>
      <c r="AD6" s="68" t="s">
        <v>46</v>
      </c>
      <c r="AE6" s="61" t="s">
        <v>55</v>
      </c>
      <c r="AF6" s="61" t="s">
        <v>47</v>
      </c>
      <c r="AG6" s="61" t="s">
        <v>54</v>
      </c>
      <c r="AH6" s="61" t="s">
        <v>53</v>
      </c>
      <c r="AI6" s="69" t="s">
        <v>52</v>
      </c>
      <c r="AJ6" s="68" t="s">
        <v>46</v>
      </c>
      <c r="AK6" s="61" t="s">
        <v>55</v>
      </c>
      <c r="AL6" s="61" t="s">
        <v>47</v>
      </c>
      <c r="AM6" s="61" t="s">
        <v>54</v>
      </c>
      <c r="AN6" s="61" t="s">
        <v>53</v>
      </c>
      <c r="AO6" s="69" t="s">
        <v>52</v>
      </c>
      <c r="AP6" s="68" t="s">
        <v>46</v>
      </c>
      <c r="AQ6" s="61" t="s">
        <v>55</v>
      </c>
      <c r="AR6" s="61" t="s">
        <v>47</v>
      </c>
      <c r="AS6" s="61" t="s">
        <v>54</v>
      </c>
      <c r="AT6" s="61" t="s">
        <v>53</v>
      </c>
      <c r="AU6" s="69" t="s">
        <v>52</v>
      </c>
      <c r="AV6" s="68" t="s">
        <v>46</v>
      </c>
      <c r="AW6" s="61" t="s">
        <v>55</v>
      </c>
      <c r="AX6" s="61" t="s">
        <v>47</v>
      </c>
      <c r="AY6" s="61" t="s">
        <v>54</v>
      </c>
      <c r="AZ6" s="61" t="s">
        <v>53</v>
      </c>
      <c r="BA6" s="69" t="s">
        <v>52</v>
      </c>
      <c r="BB6" s="68" t="s">
        <v>46</v>
      </c>
      <c r="BC6" s="61" t="s">
        <v>55</v>
      </c>
      <c r="BD6" s="61" t="s">
        <v>47</v>
      </c>
      <c r="BE6" s="61" t="s">
        <v>54</v>
      </c>
      <c r="BF6" s="61" t="s">
        <v>53</v>
      </c>
      <c r="BG6" s="69" t="s">
        <v>52</v>
      </c>
      <c r="BH6" s="68" t="s">
        <v>46</v>
      </c>
      <c r="BI6" s="61" t="s">
        <v>55</v>
      </c>
      <c r="BJ6" s="61" t="s">
        <v>47</v>
      </c>
      <c r="BK6" s="61" t="s">
        <v>54</v>
      </c>
      <c r="BL6" s="61" t="s">
        <v>53</v>
      </c>
      <c r="BM6" s="69" t="s">
        <v>52</v>
      </c>
      <c r="BN6" s="68" t="s">
        <v>46</v>
      </c>
      <c r="BO6" s="61" t="s">
        <v>55</v>
      </c>
      <c r="BP6" s="61" t="s">
        <v>47</v>
      </c>
      <c r="BQ6" s="61" t="s">
        <v>54</v>
      </c>
      <c r="BR6" s="61" t="s">
        <v>53</v>
      </c>
      <c r="BS6" s="97" t="s">
        <v>52</v>
      </c>
      <c r="BT6" s="68" t="s">
        <v>46</v>
      </c>
      <c r="BU6" s="61" t="s">
        <v>55</v>
      </c>
      <c r="BV6" s="61" t="s">
        <v>47</v>
      </c>
      <c r="BW6" s="61" t="s">
        <v>80</v>
      </c>
      <c r="BX6" s="61" t="s">
        <v>53</v>
      </c>
      <c r="BY6" s="97" t="s">
        <v>52</v>
      </c>
      <c r="BZ6" s="68" t="s">
        <v>46</v>
      </c>
      <c r="CA6" s="61" t="s">
        <v>55</v>
      </c>
      <c r="CB6" s="61" t="s">
        <v>47</v>
      </c>
      <c r="CC6" s="61" t="s">
        <v>80</v>
      </c>
      <c r="CD6" s="61" t="s">
        <v>53</v>
      </c>
      <c r="CE6" s="97" t="s">
        <v>52</v>
      </c>
      <c r="CF6" s="68" t="s">
        <v>46</v>
      </c>
      <c r="CG6" s="61" t="s">
        <v>55</v>
      </c>
      <c r="CH6" s="61" t="s">
        <v>47</v>
      </c>
      <c r="CI6" s="61" t="s">
        <v>80</v>
      </c>
      <c r="CJ6" s="61" t="s">
        <v>53</v>
      </c>
      <c r="CK6" s="97" t="s">
        <v>52</v>
      </c>
      <c r="CL6" s="68" t="s">
        <v>46</v>
      </c>
      <c r="CM6" s="61" t="s">
        <v>55</v>
      </c>
      <c r="CN6" s="61" t="s">
        <v>47</v>
      </c>
      <c r="CO6" s="61" t="s">
        <v>80</v>
      </c>
      <c r="CP6" s="61" t="s">
        <v>53</v>
      </c>
      <c r="CQ6" s="97" t="s">
        <v>52</v>
      </c>
      <c r="CR6" s="68" t="s">
        <v>46</v>
      </c>
      <c r="CS6" s="61" t="s">
        <v>55</v>
      </c>
      <c r="CT6" s="61" t="s">
        <v>47</v>
      </c>
      <c r="CU6" s="61" t="s">
        <v>80</v>
      </c>
      <c r="CV6" s="61" t="s">
        <v>53</v>
      </c>
      <c r="CW6" s="97" t="s">
        <v>52</v>
      </c>
      <c r="CX6" s="68" t="s">
        <v>46</v>
      </c>
      <c r="CY6" s="61" t="s">
        <v>55</v>
      </c>
      <c r="CZ6" s="61" t="s">
        <v>47</v>
      </c>
      <c r="DA6" s="61" t="s">
        <v>80</v>
      </c>
      <c r="DB6" s="61" t="s">
        <v>53</v>
      </c>
      <c r="DC6" s="97" t="s">
        <v>52</v>
      </c>
      <c r="DD6" s="68" t="s">
        <v>46</v>
      </c>
      <c r="DE6" s="61" t="s">
        <v>55</v>
      </c>
      <c r="DF6" s="61" t="s">
        <v>47</v>
      </c>
      <c r="DG6" s="61" t="s">
        <v>80</v>
      </c>
      <c r="DH6" s="61" t="s">
        <v>53</v>
      </c>
      <c r="DI6" s="97" t="s">
        <v>52</v>
      </c>
      <c r="DJ6" s="68" t="s">
        <v>46</v>
      </c>
      <c r="DK6" s="61" t="s">
        <v>55</v>
      </c>
      <c r="DL6" s="61" t="s">
        <v>47</v>
      </c>
      <c r="DM6" s="61" t="s">
        <v>80</v>
      </c>
      <c r="DN6" s="61" t="s">
        <v>53</v>
      </c>
      <c r="DO6" s="97" t="s">
        <v>52</v>
      </c>
      <c r="DP6" s="68" t="s">
        <v>46</v>
      </c>
      <c r="DQ6" s="61" t="s">
        <v>55</v>
      </c>
      <c r="DR6" s="61" t="s">
        <v>47</v>
      </c>
      <c r="DS6" s="61" t="s">
        <v>80</v>
      </c>
      <c r="DT6" s="61" t="s">
        <v>53</v>
      </c>
      <c r="DU6" s="97" t="s">
        <v>52</v>
      </c>
      <c r="DV6" s="68" t="s">
        <v>46</v>
      </c>
      <c r="DW6" s="61" t="s">
        <v>55</v>
      </c>
      <c r="DX6" s="61" t="s">
        <v>47</v>
      </c>
      <c r="DY6" s="61" t="s">
        <v>80</v>
      </c>
      <c r="DZ6" s="61" t="s">
        <v>53</v>
      </c>
      <c r="EA6" s="97" t="s">
        <v>52</v>
      </c>
      <c r="EB6" s="68" t="s">
        <v>46</v>
      </c>
      <c r="EC6" s="61" t="s">
        <v>55</v>
      </c>
      <c r="ED6" s="61" t="s">
        <v>47</v>
      </c>
      <c r="EE6" s="61" t="s">
        <v>80</v>
      </c>
      <c r="EF6" s="61" t="s">
        <v>53</v>
      </c>
      <c r="EG6" s="97" t="s">
        <v>52</v>
      </c>
      <c r="EH6" s="68" t="s">
        <v>46</v>
      </c>
      <c r="EI6" s="61" t="s">
        <v>55</v>
      </c>
      <c r="EJ6" s="61" t="s">
        <v>47</v>
      </c>
      <c r="EK6" s="61" t="s">
        <v>80</v>
      </c>
      <c r="EL6" s="61" t="s">
        <v>53</v>
      </c>
      <c r="EM6" s="97" t="s">
        <v>52</v>
      </c>
      <c r="EN6" s="68" t="s">
        <v>46</v>
      </c>
      <c r="EO6" s="61" t="s">
        <v>55</v>
      </c>
      <c r="EP6" s="61" t="s">
        <v>47</v>
      </c>
      <c r="EQ6" s="61" t="s">
        <v>80</v>
      </c>
      <c r="ER6" s="61" t="s">
        <v>53</v>
      </c>
      <c r="ES6" s="97" t="s">
        <v>52</v>
      </c>
      <c r="ET6" s="68" t="s">
        <v>46</v>
      </c>
      <c r="EU6" s="61" t="s">
        <v>55</v>
      </c>
      <c r="EV6" s="61" t="s">
        <v>47</v>
      </c>
      <c r="EW6" s="61" t="s">
        <v>80</v>
      </c>
      <c r="EX6" s="61" t="s">
        <v>53</v>
      </c>
      <c r="EY6" s="97" t="s">
        <v>52</v>
      </c>
      <c r="EZ6" s="68" t="s">
        <v>46</v>
      </c>
      <c r="FA6" s="61" t="s">
        <v>55</v>
      </c>
      <c r="FB6" s="61" t="s">
        <v>47</v>
      </c>
      <c r="FC6" s="61" t="s">
        <v>80</v>
      </c>
      <c r="FD6" s="61" t="s">
        <v>53</v>
      </c>
      <c r="FE6" s="97" t="s">
        <v>52</v>
      </c>
      <c r="FF6" s="68" t="s">
        <v>46</v>
      </c>
      <c r="FG6" s="61" t="s">
        <v>55</v>
      </c>
      <c r="FH6" s="61" t="s">
        <v>47</v>
      </c>
      <c r="FI6" s="61" t="s">
        <v>80</v>
      </c>
      <c r="FJ6" s="61" t="s">
        <v>53</v>
      </c>
      <c r="FK6" s="97" t="s">
        <v>52</v>
      </c>
      <c r="FL6" s="68" t="s">
        <v>46</v>
      </c>
      <c r="FM6" s="61" t="s">
        <v>55</v>
      </c>
      <c r="FN6" s="61" t="s">
        <v>47</v>
      </c>
      <c r="FO6" s="61" t="s">
        <v>80</v>
      </c>
      <c r="FP6" s="61" t="s">
        <v>53</v>
      </c>
      <c r="FQ6" s="97" t="s">
        <v>52</v>
      </c>
      <c r="FR6" s="68" t="s">
        <v>46</v>
      </c>
      <c r="FS6" s="61" t="s">
        <v>55</v>
      </c>
      <c r="FT6" s="61" t="s">
        <v>47</v>
      </c>
      <c r="FU6" s="61" t="s">
        <v>80</v>
      </c>
      <c r="FV6" s="61" t="s">
        <v>53</v>
      </c>
      <c r="FW6" s="97" t="s">
        <v>52</v>
      </c>
      <c r="FX6" s="68" t="s">
        <v>46</v>
      </c>
      <c r="FY6" s="61" t="s">
        <v>55</v>
      </c>
      <c r="FZ6" s="61" t="s">
        <v>47</v>
      </c>
      <c r="GA6" s="61" t="s">
        <v>80</v>
      </c>
      <c r="GB6" s="61" t="s">
        <v>53</v>
      </c>
      <c r="GC6" s="97" t="s">
        <v>52</v>
      </c>
      <c r="GD6" s="68" t="s">
        <v>46</v>
      </c>
      <c r="GE6" s="61" t="s">
        <v>55</v>
      </c>
      <c r="GF6" s="61" t="s">
        <v>47</v>
      </c>
      <c r="GG6" s="61" t="s">
        <v>80</v>
      </c>
      <c r="GH6" s="61" t="s">
        <v>53</v>
      </c>
      <c r="GI6" s="97" t="s">
        <v>52</v>
      </c>
      <c r="GJ6" s="150" t="s">
        <v>52</v>
      </c>
      <c r="GK6" s="148" t="s">
        <v>60</v>
      </c>
      <c r="GL6" s="164" t="s">
        <v>72</v>
      </c>
      <c r="GM6" s="148" t="s">
        <v>60</v>
      </c>
      <c r="GN6" s="170"/>
    </row>
    <row r="7" spans="1:196" s="23" customFormat="1" thickBot="1" x14ac:dyDescent="0.25">
      <c r="A7" s="171">
        <v>1</v>
      </c>
      <c r="B7" s="91">
        <f t="shared" ref="B7:Y7" si="0">A7+1</f>
        <v>2</v>
      </c>
      <c r="C7" s="57">
        <f t="shared" si="0"/>
        <v>3</v>
      </c>
      <c r="D7" s="60">
        <f t="shared" si="0"/>
        <v>4</v>
      </c>
      <c r="E7" s="57">
        <f t="shared" si="0"/>
        <v>5</v>
      </c>
      <c r="F7" s="60">
        <f t="shared" si="0"/>
        <v>6</v>
      </c>
      <c r="G7" s="89">
        <f>F7+1</f>
        <v>7</v>
      </c>
      <c r="H7" s="58">
        <f t="shared" si="0"/>
        <v>8</v>
      </c>
      <c r="I7" s="58">
        <f t="shared" ref="I7:L7" si="1">H7+1</f>
        <v>9</v>
      </c>
      <c r="J7" s="98">
        <f>I7+1</f>
        <v>10</v>
      </c>
      <c r="K7" s="103">
        <f>J7+1</f>
        <v>11</v>
      </c>
      <c r="L7" s="59">
        <f t="shared" si="1"/>
        <v>12</v>
      </c>
      <c r="M7" s="57">
        <f>L7+1</f>
        <v>13</v>
      </c>
      <c r="N7" s="58">
        <f t="shared" si="0"/>
        <v>14</v>
      </c>
      <c r="O7" s="58">
        <f t="shared" si="0"/>
        <v>15</v>
      </c>
      <c r="P7" s="58">
        <f t="shared" si="0"/>
        <v>16</v>
      </c>
      <c r="Q7" s="60">
        <f t="shared" si="0"/>
        <v>17</v>
      </c>
      <c r="R7" s="57">
        <f t="shared" si="0"/>
        <v>18</v>
      </c>
      <c r="S7" s="58">
        <f t="shared" si="0"/>
        <v>19</v>
      </c>
      <c r="T7" s="58">
        <f>S7+1</f>
        <v>20</v>
      </c>
      <c r="U7" s="58">
        <f t="shared" si="0"/>
        <v>21</v>
      </c>
      <c r="V7" s="58">
        <f t="shared" si="0"/>
        <v>22</v>
      </c>
      <c r="W7" s="60">
        <f t="shared" si="0"/>
        <v>23</v>
      </c>
      <c r="X7" s="57">
        <f t="shared" si="0"/>
        <v>24</v>
      </c>
      <c r="Y7" s="58">
        <f t="shared" si="0"/>
        <v>25</v>
      </c>
      <c r="Z7" s="58">
        <f>Y7+1</f>
        <v>26</v>
      </c>
      <c r="AA7" s="58">
        <f t="shared" ref="AA7:AZ7" si="2">Z7+1</f>
        <v>27</v>
      </c>
      <c r="AB7" s="58">
        <f t="shared" si="2"/>
        <v>28</v>
      </c>
      <c r="AC7" s="60">
        <f t="shared" si="2"/>
        <v>29</v>
      </c>
      <c r="AD7" s="57">
        <f t="shared" si="2"/>
        <v>30</v>
      </c>
      <c r="AE7" s="58">
        <f t="shared" si="2"/>
        <v>31</v>
      </c>
      <c r="AF7" s="58">
        <f>AE7+1</f>
        <v>32</v>
      </c>
      <c r="AG7" s="58">
        <f t="shared" si="2"/>
        <v>33</v>
      </c>
      <c r="AH7" s="58">
        <f t="shared" si="2"/>
        <v>34</v>
      </c>
      <c r="AI7" s="60">
        <f t="shared" si="2"/>
        <v>35</v>
      </c>
      <c r="AJ7" s="57">
        <f t="shared" si="2"/>
        <v>36</v>
      </c>
      <c r="AK7" s="58">
        <f t="shared" si="2"/>
        <v>37</v>
      </c>
      <c r="AL7" s="58">
        <f>AK7+1</f>
        <v>38</v>
      </c>
      <c r="AM7" s="58">
        <f t="shared" si="2"/>
        <v>39</v>
      </c>
      <c r="AN7" s="58">
        <f t="shared" si="2"/>
        <v>40</v>
      </c>
      <c r="AO7" s="60">
        <f t="shared" si="2"/>
        <v>41</v>
      </c>
      <c r="AP7" s="57">
        <f t="shared" si="2"/>
        <v>42</v>
      </c>
      <c r="AQ7" s="58">
        <f t="shared" si="2"/>
        <v>43</v>
      </c>
      <c r="AR7" s="58">
        <f>AQ7+1</f>
        <v>44</v>
      </c>
      <c r="AS7" s="58">
        <f t="shared" si="2"/>
        <v>45</v>
      </c>
      <c r="AT7" s="58">
        <f t="shared" si="2"/>
        <v>46</v>
      </c>
      <c r="AU7" s="60">
        <f t="shared" si="2"/>
        <v>47</v>
      </c>
      <c r="AV7" s="57">
        <f t="shared" si="2"/>
        <v>48</v>
      </c>
      <c r="AW7" s="58">
        <f t="shared" si="2"/>
        <v>49</v>
      </c>
      <c r="AX7" s="58">
        <f>AW7+1</f>
        <v>50</v>
      </c>
      <c r="AY7" s="58">
        <f t="shared" si="2"/>
        <v>51</v>
      </c>
      <c r="AZ7" s="58">
        <f t="shared" si="2"/>
        <v>52</v>
      </c>
      <c r="BA7" s="60">
        <f t="shared" ref="BA7:BS7" si="3">AZ7+1</f>
        <v>53</v>
      </c>
      <c r="BB7" s="57">
        <f t="shared" si="3"/>
        <v>54</v>
      </c>
      <c r="BC7" s="58">
        <f t="shared" si="3"/>
        <v>55</v>
      </c>
      <c r="BD7" s="58">
        <f>BC7+1</f>
        <v>56</v>
      </c>
      <c r="BE7" s="58">
        <f t="shared" si="3"/>
        <v>57</v>
      </c>
      <c r="BF7" s="58">
        <f t="shared" si="3"/>
        <v>58</v>
      </c>
      <c r="BG7" s="60">
        <f t="shared" si="3"/>
        <v>59</v>
      </c>
      <c r="BH7" s="57">
        <f t="shared" si="3"/>
        <v>60</v>
      </c>
      <c r="BI7" s="58">
        <f t="shared" si="3"/>
        <v>61</v>
      </c>
      <c r="BJ7" s="58">
        <f>BI7+1</f>
        <v>62</v>
      </c>
      <c r="BK7" s="58">
        <f t="shared" si="3"/>
        <v>63</v>
      </c>
      <c r="BL7" s="58">
        <f t="shared" si="3"/>
        <v>64</v>
      </c>
      <c r="BM7" s="60">
        <f t="shared" si="3"/>
        <v>65</v>
      </c>
      <c r="BN7" s="57">
        <f t="shared" si="3"/>
        <v>66</v>
      </c>
      <c r="BO7" s="58">
        <f t="shared" si="3"/>
        <v>67</v>
      </c>
      <c r="BP7" s="58">
        <f>BO7+1</f>
        <v>68</v>
      </c>
      <c r="BQ7" s="58">
        <f t="shared" si="3"/>
        <v>69</v>
      </c>
      <c r="BR7" s="58">
        <f t="shared" si="3"/>
        <v>70</v>
      </c>
      <c r="BS7" s="98">
        <f t="shared" si="3"/>
        <v>71</v>
      </c>
      <c r="BT7" s="57">
        <f t="shared" ref="BT7" si="4">BS7+1</f>
        <v>72</v>
      </c>
      <c r="BU7" s="58">
        <f t="shared" ref="BU7" si="5">BT7+1</f>
        <v>73</v>
      </c>
      <c r="BV7" s="58">
        <f>BU7+1</f>
        <v>74</v>
      </c>
      <c r="BW7" s="58">
        <f t="shared" ref="BW7" si="6">BV7+1</f>
        <v>75</v>
      </c>
      <c r="BX7" s="58">
        <f t="shared" ref="BX7" si="7">BW7+1</f>
        <v>76</v>
      </c>
      <c r="BY7" s="98">
        <f t="shared" ref="BY7" si="8">BX7+1</f>
        <v>77</v>
      </c>
      <c r="BZ7" s="57">
        <f t="shared" ref="BZ7" si="9">BY7+1</f>
        <v>78</v>
      </c>
      <c r="CA7" s="58">
        <f t="shared" ref="CA7" si="10">BZ7+1</f>
        <v>79</v>
      </c>
      <c r="CB7" s="58">
        <f>CA7+1</f>
        <v>80</v>
      </c>
      <c r="CC7" s="58">
        <f t="shared" ref="CC7" si="11">CB7+1</f>
        <v>81</v>
      </c>
      <c r="CD7" s="58">
        <f t="shared" ref="CD7" si="12">CC7+1</f>
        <v>82</v>
      </c>
      <c r="CE7" s="98">
        <f t="shared" ref="CE7" si="13">CD7+1</f>
        <v>83</v>
      </c>
      <c r="CF7" s="57">
        <f t="shared" ref="CF7" si="14">CE7+1</f>
        <v>84</v>
      </c>
      <c r="CG7" s="58">
        <f t="shared" ref="CG7" si="15">CF7+1</f>
        <v>85</v>
      </c>
      <c r="CH7" s="58">
        <f>CG7+1</f>
        <v>86</v>
      </c>
      <c r="CI7" s="58">
        <f t="shared" ref="CI7" si="16">CH7+1</f>
        <v>87</v>
      </c>
      <c r="CJ7" s="58">
        <f t="shared" ref="CJ7" si="17">CI7+1</f>
        <v>88</v>
      </c>
      <c r="CK7" s="98">
        <f t="shared" ref="CK7" si="18">CJ7+1</f>
        <v>89</v>
      </c>
      <c r="CL7" s="57">
        <f t="shared" ref="CL7" si="19">CK7+1</f>
        <v>90</v>
      </c>
      <c r="CM7" s="58">
        <f t="shared" ref="CM7" si="20">CL7+1</f>
        <v>91</v>
      </c>
      <c r="CN7" s="58">
        <f>CM7+1</f>
        <v>92</v>
      </c>
      <c r="CO7" s="58">
        <f t="shared" ref="CO7" si="21">CN7+1</f>
        <v>93</v>
      </c>
      <c r="CP7" s="58">
        <f t="shared" ref="CP7" si="22">CO7+1</f>
        <v>94</v>
      </c>
      <c r="CQ7" s="98">
        <f t="shared" ref="CQ7" si="23">CP7+1</f>
        <v>95</v>
      </c>
      <c r="CR7" s="57">
        <f t="shared" ref="CR7" si="24">CQ7+1</f>
        <v>96</v>
      </c>
      <c r="CS7" s="58">
        <f t="shared" ref="CS7" si="25">CR7+1</f>
        <v>97</v>
      </c>
      <c r="CT7" s="58">
        <f>CS7+1</f>
        <v>98</v>
      </c>
      <c r="CU7" s="58">
        <f t="shared" ref="CU7" si="26">CT7+1</f>
        <v>99</v>
      </c>
      <c r="CV7" s="58">
        <f t="shared" ref="CV7" si="27">CU7+1</f>
        <v>100</v>
      </c>
      <c r="CW7" s="98">
        <f t="shared" ref="CW7" si="28">CV7+1</f>
        <v>101</v>
      </c>
      <c r="CX7" s="57">
        <f t="shared" ref="CX7" si="29">CW7+1</f>
        <v>102</v>
      </c>
      <c r="CY7" s="58">
        <f t="shared" ref="CY7" si="30">CX7+1</f>
        <v>103</v>
      </c>
      <c r="CZ7" s="58">
        <f>CY7+1</f>
        <v>104</v>
      </c>
      <c r="DA7" s="58">
        <f t="shared" ref="DA7" si="31">CZ7+1</f>
        <v>105</v>
      </c>
      <c r="DB7" s="58">
        <f t="shared" ref="DB7" si="32">DA7+1</f>
        <v>106</v>
      </c>
      <c r="DC7" s="98">
        <f t="shared" ref="DC7" si="33">DB7+1</f>
        <v>107</v>
      </c>
      <c r="DD7" s="57">
        <f t="shared" ref="DD7" si="34">DC7+1</f>
        <v>108</v>
      </c>
      <c r="DE7" s="58">
        <f t="shared" ref="DE7" si="35">DD7+1</f>
        <v>109</v>
      </c>
      <c r="DF7" s="58">
        <f>DE7+1</f>
        <v>110</v>
      </c>
      <c r="DG7" s="58">
        <f t="shared" ref="DG7" si="36">DF7+1</f>
        <v>111</v>
      </c>
      <c r="DH7" s="58">
        <f t="shared" ref="DH7" si="37">DG7+1</f>
        <v>112</v>
      </c>
      <c r="DI7" s="98">
        <f t="shared" ref="DI7" si="38">DH7+1</f>
        <v>113</v>
      </c>
      <c r="DJ7" s="57">
        <f t="shared" ref="DJ7" si="39">DI7+1</f>
        <v>114</v>
      </c>
      <c r="DK7" s="58">
        <f t="shared" ref="DK7" si="40">DJ7+1</f>
        <v>115</v>
      </c>
      <c r="DL7" s="58">
        <f>DK7+1</f>
        <v>116</v>
      </c>
      <c r="DM7" s="58">
        <f t="shared" ref="DM7" si="41">DL7+1</f>
        <v>117</v>
      </c>
      <c r="DN7" s="58">
        <f t="shared" ref="DN7" si="42">DM7+1</f>
        <v>118</v>
      </c>
      <c r="DO7" s="98">
        <f t="shared" ref="DO7" si="43">DN7+1</f>
        <v>119</v>
      </c>
      <c r="DP7" s="57">
        <f t="shared" ref="DP7" si="44">DO7+1</f>
        <v>120</v>
      </c>
      <c r="DQ7" s="58">
        <f t="shared" ref="DQ7" si="45">DP7+1</f>
        <v>121</v>
      </c>
      <c r="DR7" s="58">
        <f>DQ7+1</f>
        <v>122</v>
      </c>
      <c r="DS7" s="58">
        <f t="shared" ref="DS7" si="46">DR7+1</f>
        <v>123</v>
      </c>
      <c r="DT7" s="58">
        <f t="shared" ref="DT7" si="47">DS7+1</f>
        <v>124</v>
      </c>
      <c r="DU7" s="98">
        <f t="shared" ref="DU7" si="48">DT7+1</f>
        <v>125</v>
      </c>
      <c r="DV7" s="57">
        <f t="shared" ref="DV7" si="49">DU7+1</f>
        <v>126</v>
      </c>
      <c r="DW7" s="58">
        <f t="shared" ref="DW7" si="50">DV7+1</f>
        <v>127</v>
      </c>
      <c r="DX7" s="58">
        <f>DW7+1</f>
        <v>128</v>
      </c>
      <c r="DY7" s="58">
        <f t="shared" ref="DY7" si="51">DX7+1</f>
        <v>129</v>
      </c>
      <c r="DZ7" s="58">
        <f t="shared" ref="DZ7" si="52">DY7+1</f>
        <v>130</v>
      </c>
      <c r="EA7" s="98">
        <f t="shared" ref="EA7" si="53">DZ7+1</f>
        <v>131</v>
      </c>
      <c r="EB7" s="57">
        <f t="shared" ref="EB7" si="54">EA7+1</f>
        <v>132</v>
      </c>
      <c r="EC7" s="58">
        <f t="shared" ref="EC7" si="55">EB7+1</f>
        <v>133</v>
      </c>
      <c r="ED7" s="58">
        <f>EC7+1</f>
        <v>134</v>
      </c>
      <c r="EE7" s="58">
        <f t="shared" ref="EE7" si="56">ED7+1</f>
        <v>135</v>
      </c>
      <c r="EF7" s="58">
        <f t="shared" ref="EF7" si="57">EE7+1</f>
        <v>136</v>
      </c>
      <c r="EG7" s="98">
        <f t="shared" ref="EG7" si="58">EF7+1</f>
        <v>137</v>
      </c>
      <c r="EH7" s="57">
        <f t="shared" ref="EH7" si="59">EG7+1</f>
        <v>138</v>
      </c>
      <c r="EI7" s="58">
        <f t="shared" ref="EI7" si="60">EH7+1</f>
        <v>139</v>
      </c>
      <c r="EJ7" s="58">
        <f>EI7+1</f>
        <v>140</v>
      </c>
      <c r="EK7" s="58">
        <f t="shared" ref="EK7" si="61">EJ7+1</f>
        <v>141</v>
      </c>
      <c r="EL7" s="58">
        <f t="shared" ref="EL7" si="62">EK7+1</f>
        <v>142</v>
      </c>
      <c r="EM7" s="98">
        <f t="shared" ref="EM7" si="63">EL7+1</f>
        <v>143</v>
      </c>
      <c r="EN7" s="57">
        <f t="shared" ref="EN7" si="64">EM7+1</f>
        <v>144</v>
      </c>
      <c r="EO7" s="58">
        <f t="shared" ref="EO7" si="65">EN7+1</f>
        <v>145</v>
      </c>
      <c r="EP7" s="58">
        <f>EO7+1</f>
        <v>146</v>
      </c>
      <c r="EQ7" s="58">
        <f t="shared" ref="EQ7" si="66">EP7+1</f>
        <v>147</v>
      </c>
      <c r="ER7" s="58">
        <f t="shared" ref="ER7" si="67">EQ7+1</f>
        <v>148</v>
      </c>
      <c r="ES7" s="98">
        <f t="shared" ref="ES7" si="68">ER7+1</f>
        <v>149</v>
      </c>
      <c r="ET7" s="57">
        <f t="shared" ref="ET7" si="69">ES7+1</f>
        <v>150</v>
      </c>
      <c r="EU7" s="58">
        <f t="shared" ref="EU7" si="70">ET7+1</f>
        <v>151</v>
      </c>
      <c r="EV7" s="58">
        <f>EU7+1</f>
        <v>152</v>
      </c>
      <c r="EW7" s="58">
        <f t="shared" ref="EW7" si="71">EV7+1</f>
        <v>153</v>
      </c>
      <c r="EX7" s="58">
        <f t="shared" ref="EX7" si="72">EW7+1</f>
        <v>154</v>
      </c>
      <c r="EY7" s="98">
        <f t="shared" ref="EY7" si="73">EX7+1</f>
        <v>155</v>
      </c>
      <c r="EZ7" s="57">
        <f t="shared" ref="EZ7" si="74">EY7+1</f>
        <v>156</v>
      </c>
      <c r="FA7" s="58">
        <f t="shared" ref="FA7" si="75">EZ7+1</f>
        <v>157</v>
      </c>
      <c r="FB7" s="58">
        <f>FA7+1</f>
        <v>158</v>
      </c>
      <c r="FC7" s="58">
        <f t="shared" ref="FC7" si="76">FB7+1</f>
        <v>159</v>
      </c>
      <c r="FD7" s="58">
        <f t="shared" ref="FD7" si="77">FC7+1</f>
        <v>160</v>
      </c>
      <c r="FE7" s="98">
        <f t="shared" ref="FE7" si="78">FD7+1</f>
        <v>161</v>
      </c>
      <c r="FF7" s="57">
        <f t="shared" ref="FF7" si="79">FE7+1</f>
        <v>162</v>
      </c>
      <c r="FG7" s="58">
        <f t="shared" ref="FG7" si="80">FF7+1</f>
        <v>163</v>
      </c>
      <c r="FH7" s="58">
        <f>FG7+1</f>
        <v>164</v>
      </c>
      <c r="FI7" s="58">
        <f t="shared" ref="FI7" si="81">FH7+1</f>
        <v>165</v>
      </c>
      <c r="FJ7" s="58">
        <f t="shared" ref="FJ7" si="82">FI7+1</f>
        <v>166</v>
      </c>
      <c r="FK7" s="98">
        <f t="shared" ref="FK7" si="83">FJ7+1</f>
        <v>167</v>
      </c>
      <c r="FL7" s="57">
        <f t="shared" ref="FL7" si="84">FK7+1</f>
        <v>168</v>
      </c>
      <c r="FM7" s="58">
        <f t="shared" ref="FM7" si="85">FL7+1</f>
        <v>169</v>
      </c>
      <c r="FN7" s="58">
        <f>FM7+1</f>
        <v>170</v>
      </c>
      <c r="FO7" s="58">
        <f t="shared" ref="FO7" si="86">FN7+1</f>
        <v>171</v>
      </c>
      <c r="FP7" s="58">
        <f t="shared" ref="FP7" si="87">FO7+1</f>
        <v>172</v>
      </c>
      <c r="FQ7" s="98">
        <f t="shared" ref="FQ7" si="88">FP7+1</f>
        <v>173</v>
      </c>
      <c r="FR7" s="57">
        <f t="shared" ref="FR7" si="89">FQ7+1</f>
        <v>174</v>
      </c>
      <c r="FS7" s="58">
        <f t="shared" ref="FS7" si="90">FR7+1</f>
        <v>175</v>
      </c>
      <c r="FT7" s="58">
        <f>FS7+1</f>
        <v>176</v>
      </c>
      <c r="FU7" s="58">
        <f t="shared" ref="FU7" si="91">FT7+1</f>
        <v>177</v>
      </c>
      <c r="FV7" s="58">
        <f t="shared" ref="FV7" si="92">FU7+1</f>
        <v>178</v>
      </c>
      <c r="FW7" s="98">
        <f t="shared" ref="FW7" si="93">FV7+1</f>
        <v>179</v>
      </c>
      <c r="FX7" s="57">
        <f t="shared" ref="FX7" si="94">FW7+1</f>
        <v>180</v>
      </c>
      <c r="FY7" s="58">
        <f t="shared" ref="FY7" si="95">FX7+1</f>
        <v>181</v>
      </c>
      <c r="FZ7" s="58">
        <f>FY7+1</f>
        <v>182</v>
      </c>
      <c r="GA7" s="58">
        <f t="shared" ref="GA7" si="96">FZ7+1</f>
        <v>183</v>
      </c>
      <c r="GB7" s="58">
        <f t="shared" ref="GB7" si="97">GA7+1</f>
        <v>184</v>
      </c>
      <c r="GC7" s="98">
        <f t="shared" ref="GC7" si="98">GB7+1</f>
        <v>185</v>
      </c>
      <c r="GD7" s="57">
        <f t="shared" ref="GD7" si="99">GC7+1</f>
        <v>186</v>
      </c>
      <c r="GE7" s="58">
        <f t="shared" ref="GE7" si="100">GD7+1</f>
        <v>187</v>
      </c>
      <c r="GF7" s="58">
        <f>GE7+1</f>
        <v>188</v>
      </c>
      <c r="GG7" s="58">
        <f t="shared" ref="GG7" si="101">GF7+1</f>
        <v>189</v>
      </c>
      <c r="GH7" s="58">
        <f t="shared" ref="GH7" si="102">GG7+1</f>
        <v>190</v>
      </c>
      <c r="GI7" s="98">
        <f t="shared" ref="GI7" si="103">GH7+1</f>
        <v>191</v>
      </c>
      <c r="GJ7" s="59">
        <f>GI7+1</f>
        <v>192</v>
      </c>
      <c r="GK7" s="149">
        <f>GJ7+1</f>
        <v>193</v>
      </c>
      <c r="GL7" s="165">
        <f>GK7+1</f>
        <v>194</v>
      </c>
      <c r="GM7" s="149">
        <f>GL7+1</f>
        <v>195</v>
      </c>
      <c r="GN7" s="171"/>
    </row>
    <row r="8" spans="1:196" s="24" customFormat="1" thickBot="1" x14ac:dyDescent="0.25">
      <c r="A8" s="193" t="s">
        <v>3</v>
      </c>
      <c r="B8" s="92" t="s">
        <v>4</v>
      </c>
      <c r="C8" s="52" t="s">
        <v>49</v>
      </c>
      <c r="D8" s="56" t="s">
        <v>4</v>
      </c>
      <c r="E8" s="52" t="s">
        <v>49</v>
      </c>
      <c r="F8" s="56" t="s">
        <v>4</v>
      </c>
      <c r="G8" s="55" t="s">
        <v>5</v>
      </c>
      <c r="H8" s="53" t="s">
        <v>4</v>
      </c>
      <c r="I8" s="53" t="s">
        <v>50</v>
      </c>
      <c r="J8" s="99" t="s">
        <v>67</v>
      </c>
      <c r="K8" s="104" t="s">
        <v>50</v>
      </c>
      <c r="L8" s="54" t="s">
        <v>4</v>
      </c>
      <c r="M8" s="52" t="s">
        <v>50</v>
      </c>
      <c r="N8" s="53" t="s">
        <v>50</v>
      </c>
      <c r="O8" s="53" t="s">
        <v>50</v>
      </c>
      <c r="P8" s="53" t="s">
        <v>4</v>
      </c>
      <c r="Q8" s="56" t="s">
        <v>4</v>
      </c>
      <c r="R8" s="52" t="s">
        <v>4</v>
      </c>
      <c r="S8" s="53" t="s">
        <v>50</v>
      </c>
      <c r="T8" s="53" t="s">
        <v>50</v>
      </c>
      <c r="U8" s="53" t="s">
        <v>50</v>
      </c>
      <c r="V8" s="53" t="s">
        <v>4</v>
      </c>
      <c r="W8" s="56" t="s">
        <v>4</v>
      </c>
      <c r="X8" s="52" t="s">
        <v>4</v>
      </c>
      <c r="Y8" s="53" t="s">
        <v>50</v>
      </c>
      <c r="Z8" s="53" t="s">
        <v>50</v>
      </c>
      <c r="AA8" s="53" t="s">
        <v>50</v>
      </c>
      <c r="AB8" s="53" t="s">
        <v>4</v>
      </c>
      <c r="AC8" s="56" t="s">
        <v>4</v>
      </c>
      <c r="AD8" s="52" t="s">
        <v>4</v>
      </c>
      <c r="AE8" s="53" t="s">
        <v>50</v>
      </c>
      <c r="AF8" s="53" t="s">
        <v>50</v>
      </c>
      <c r="AG8" s="53" t="s">
        <v>50</v>
      </c>
      <c r="AH8" s="53" t="s">
        <v>4</v>
      </c>
      <c r="AI8" s="56" t="s">
        <v>4</v>
      </c>
      <c r="AJ8" s="52" t="s">
        <v>4</v>
      </c>
      <c r="AK8" s="53" t="s">
        <v>50</v>
      </c>
      <c r="AL8" s="53" t="s">
        <v>50</v>
      </c>
      <c r="AM8" s="53" t="s">
        <v>50</v>
      </c>
      <c r="AN8" s="53" t="s">
        <v>4</v>
      </c>
      <c r="AO8" s="56" t="s">
        <v>4</v>
      </c>
      <c r="AP8" s="52" t="s">
        <v>4</v>
      </c>
      <c r="AQ8" s="53" t="s">
        <v>50</v>
      </c>
      <c r="AR8" s="53" t="s">
        <v>50</v>
      </c>
      <c r="AS8" s="53" t="s">
        <v>50</v>
      </c>
      <c r="AT8" s="53" t="s">
        <v>4</v>
      </c>
      <c r="AU8" s="56" t="s">
        <v>4</v>
      </c>
      <c r="AV8" s="52" t="s">
        <v>4</v>
      </c>
      <c r="AW8" s="53" t="s">
        <v>50</v>
      </c>
      <c r="AX8" s="53" t="s">
        <v>50</v>
      </c>
      <c r="AY8" s="53" t="s">
        <v>50</v>
      </c>
      <c r="AZ8" s="53" t="s">
        <v>4</v>
      </c>
      <c r="BA8" s="56" t="s">
        <v>4</v>
      </c>
      <c r="BB8" s="52" t="s">
        <v>4</v>
      </c>
      <c r="BC8" s="53" t="s">
        <v>50</v>
      </c>
      <c r="BD8" s="53" t="s">
        <v>50</v>
      </c>
      <c r="BE8" s="53" t="s">
        <v>50</v>
      </c>
      <c r="BF8" s="53" t="s">
        <v>4</v>
      </c>
      <c r="BG8" s="56" t="s">
        <v>4</v>
      </c>
      <c r="BH8" s="52" t="s">
        <v>4</v>
      </c>
      <c r="BI8" s="53" t="s">
        <v>50</v>
      </c>
      <c r="BJ8" s="53" t="s">
        <v>50</v>
      </c>
      <c r="BK8" s="53" t="s">
        <v>50</v>
      </c>
      <c r="BL8" s="53" t="s">
        <v>4</v>
      </c>
      <c r="BM8" s="56" t="s">
        <v>4</v>
      </c>
      <c r="BN8" s="52" t="s">
        <v>4</v>
      </c>
      <c r="BO8" s="53" t="s">
        <v>50</v>
      </c>
      <c r="BP8" s="53" t="s">
        <v>50</v>
      </c>
      <c r="BQ8" s="53" t="s">
        <v>50</v>
      </c>
      <c r="BR8" s="53" t="s">
        <v>4</v>
      </c>
      <c r="BS8" s="99" t="s">
        <v>4</v>
      </c>
      <c r="BT8" s="52" t="s">
        <v>4</v>
      </c>
      <c r="BU8" s="53" t="s">
        <v>50</v>
      </c>
      <c r="BV8" s="53" t="s">
        <v>50</v>
      </c>
      <c r="BW8" s="53" t="s">
        <v>50</v>
      </c>
      <c r="BX8" s="53" t="s">
        <v>4</v>
      </c>
      <c r="BY8" s="99" t="s">
        <v>4</v>
      </c>
      <c r="BZ8" s="52" t="s">
        <v>4</v>
      </c>
      <c r="CA8" s="53" t="s">
        <v>50</v>
      </c>
      <c r="CB8" s="53" t="s">
        <v>50</v>
      </c>
      <c r="CC8" s="53" t="s">
        <v>50</v>
      </c>
      <c r="CD8" s="53" t="s">
        <v>4</v>
      </c>
      <c r="CE8" s="99" t="s">
        <v>4</v>
      </c>
      <c r="CF8" s="52" t="s">
        <v>4</v>
      </c>
      <c r="CG8" s="53" t="s">
        <v>50</v>
      </c>
      <c r="CH8" s="53" t="s">
        <v>50</v>
      </c>
      <c r="CI8" s="53" t="s">
        <v>50</v>
      </c>
      <c r="CJ8" s="53" t="s">
        <v>4</v>
      </c>
      <c r="CK8" s="99" t="s">
        <v>4</v>
      </c>
      <c r="CL8" s="52" t="s">
        <v>4</v>
      </c>
      <c r="CM8" s="53" t="s">
        <v>50</v>
      </c>
      <c r="CN8" s="53" t="s">
        <v>50</v>
      </c>
      <c r="CO8" s="53" t="s">
        <v>50</v>
      </c>
      <c r="CP8" s="53" t="s">
        <v>4</v>
      </c>
      <c r="CQ8" s="99" t="s">
        <v>4</v>
      </c>
      <c r="CR8" s="52" t="s">
        <v>4</v>
      </c>
      <c r="CS8" s="53" t="s">
        <v>50</v>
      </c>
      <c r="CT8" s="53" t="s">
        <v>50</v>
      </c>
      <c r="CU8" s="53" t="s">
        <v>50</v>
      </c>
      <c r="CV8" s="53" t="s">
        <v>4</v>
      </c>
      <c r="CW8" s="99" t="s">
        <v>4</v>
      </c>
      <c r="CX8" s="52" t="s">
        <v>4</v>
      </c>
      <c r="CY8" s="53" t="s">
        <v>50</v>
      </c>
      <c r="CZ8" s="53" t="s">
        <v>50</v>
      </c>
      <c r="DA8" s="53" t="s">
        <v>50</v>
      </c>
      <c r="DB8" s="53" t="s">
        <v>4</v>
      </c>
      <c r="DC8" s="99" t="s">
        <v>4</v>
      </c>
      <c r="DD8" s="52" t="s">
        <v>4</v>
      </c>
      <c r="DE8" s="53" t="s">
        <v>50</v>
      </c>
      <c r="DF8" s="53" t="s">
        <v>50</v>
      </c>
      <c r="DG8" s="53" t="s">
        <v>50</v>
      </c>
      <c r="DH8" s="53" t="s">
        <v>4</v>
      </c>
      <c r="DI8" s="99" t="s">
        <v>4</v>
      </c>
      <c r="DJ8" s="52" t="s">
        <v>4</v>
      </c>
      <c r="DK8" s="53" t="s">
        <v>50</v>
      </c>
      <c r="DL8" s="53" t="s">
        <v>50</v>
      </c>
      <c r="DM8" s="53" t="s">
        <v>50</v>
      </c>
      <c r="DN8" s="53" t="s">
        <v>4</v>
      </c>
      <c r="DO8" s="99" t="s">
        <v>4</v>
      </c>
      <c r="DP8" s="52" t="s">
        <v>4</v>
      </c>
      <c r="DQ8" s="53" t="s">
        <v>50</v>
      </c>
      <c r="DR8" s="53" t="s">
        <v>50</v>
      </c>
      <c r="DS8" s="53" t="s">
        <v>50</v>
      </c>
      <c r="DT8" s="53" t="s">
        <v>4</v>
      </c>
      <c r="DU8" s="99" t="s">
        <v>4</v>
      </c>
      <c r="DV8" s="52" t="s">
        <v>4</v>
      </c>
      <c r="DW8" s="53" t="s">
        <v>50</v>
      </c>
      <c r="DX8" s="53" t="s">
        <v>50</v>
      </c>
      <c r="DY8" s="53" t="s">
        <v>50</v>
      </c>
      <c r="DZ8" s="155" t="s">
        <v>4</v>
      </c>
      <c r="EA8" s="99" t="s">
        <v>4</v>
      </c>
      <c r="EB8" s="52" t="s">
        <v>4</v>
      </c>
      <c r="EC8" s="53" t="s">
        <v>50</v>
      </c>
      <c r="ED8" s="53" t="s">
        <v>50</v>
      </c>
      <c r="EE8" s="53" t="s">
        <v>50</v>
      </c>
      <c r="EF8" s="155" t="s">
        <v>4</v>
      </c>
      <c r="EG8" s="99" t="s">
        <v>4</v>
      </c>
      <c r="EH8" s="52" t="s">
        <v>4</v>
      </c>
      <c r="EI8" s="53" t="s">
        <v>50</v>
      </c>
      <c r="EJ8" s="53" t="s">
        <v>50</v>
      </c>
      <c r="EK8" s="53" t="s">
        <v>50</v>
      </c>
      <c r="EL8" s="155" t="s">
        <v>4</v>
      </c>
      <c r="EM8" s="99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52" t="s">
        <v>4</v>
      </c>
      <c r="EU8" s="53" t="s">
        <v>50</v>
      </c>
      <c r="EV8" s="53" t="s">
        <v>50</v>
      </c>
      <c r="EW8" s="53" t="s">
        <v>50</v>
      </c>
      <c r="EX8" s="155" t="s">
        <v>4</v>
      </c>
      <c r="EY8" s="99" t="s">
        <v>4</v>
      </c>
      <c r="EZ8" s="52" t="s">
        <v>4</v>
      </c>
      <c r="FA8" s="53" t="s">
        <v>50</v>
      </c>
      <c r="FB8" s="53" t="s">
        <v>50</v>
      </c>
      <c r="FC8" s="53" t="s">
        <v>50</v>
      </c>
      <c r="FD8" s="155" t="s">
        <v>4</v>
      </c>
      <c r="FE8" s="99" t="s">
        <v>4</v>
      </c>
      <c r="FF8" s="52" t="s">
        <v>4</v>
      </c>
      <c r="FG8" s="53" t="s">
        <v>50</v>
      </c>
      <c r="FH8" s="53" t="s">
        <v>50</v>
      </c>
      <c r="FI8" s="53" t="s">
        <v>50</v>
      </c>
      <c r="FJ8" s="155" t="s">
        <v>4</v>
      </c>
      <c r="FK8" s="99" t="s">
        <v>4</v>
      </c>
      <c r="FL8" s="52" t="s">
        <v>4</v>
      </c>
      <c r="FM8" s="53" t="s">
        <v>50</v>
      </c>
      <c r="FN8" s="53" t="s">
        <v>50</v>
      </c>
      <c r="FO8" s="53" t="s">
        <v>50</v>
      </c>
      <c r="FP8" s="155" t="s">
        <v>4</v>
      </c>
      <c r="FQ8" s="99" t="s">
        <v>4</v>
      </c>
      <c r="FR8" s="52" t="s">
        <v>4</v>
      </c>
      <c r="FS8" s="53" t="s">
        <v>50</v>
      </c>
      <c r="FT8" s="53" t="s">
        <v>50</v>
      </c>
      <c r="FU8" s="53" t="s">
        <v>50</v>
      </c>
      <c r="FV8" s="155" t="s">
        <v>4</v>
      </c>
      <c r="FW8" s="99" t="s">
        <v>4</v>
      </c>
      <c r="FX8" s="52" t="s">
        <v>4</v>
      </c>
      <c r="FY8" s="53" t="s">
        <v>50</v>
      </c>
      <c r="FZ8" s="53" t="s">
        <v>50</v>
      </c>
      <c r="GA8" s="53" t="s">
        <v>50</v>
      </c>
      <c r="GB8" s="155" t="s">
        <v>4</v>
      </c>
      <c r="GC8" s="99" t="s">
        <v>4</v>
      </c>
      <c r="GD8" s="52" t="s">
        <v>4</v>
      </c>
      <c r="GE8" s="53" t="s">
        <v>50</v>
      </c>
      <c r="GF8" s="53" t="s">
        <v>50</v>
      </c>
      <c r="GG8" s="53" t="s">
        <v>50</v>
      </c>
      <c r="GH8" s="155" t="s">
        <v>4</v>
      </c>
      <c r="GI8" s="99" t="s">
        <v>4</v>
      </c>
      <c r="GJ8" s="152" t="s">
        <v>4</v>
      </c>
      <c r="GK8" s="151" t="s">
        <v>4</v>
      </c>
      <c r="GL8" s="166" t="s">
        <v>50</v>
      </c>
      <c r="GM8" s="151" t="s">
        <v>4</v>
      </c>
      <c r="GN8" s="172"/>
    </row>
    <row r="9" spans="1:196" s="21" customFormat="1" ht="18.75" x14ac:dyDescent="0.3">
      <c r="A9" s="176" t="s">
        <v>170</v>
      </c>
      <c r="B9" s="190" t="s">
        <v>8</v>
      </c>
      <c r="C9" s="136" t="s">
        <v>8</v>
      </c>
      <c r="D9" s="136" t="s">
        <v>8</v>
      </c>
      <c r="E9" s="136" t="s">
        <v>8</v>
      </c>
      <c r="F9" s="136" t="s">
        <v>8</v>
      </c>
      <c r="G9" s="93">
        <f>'Исходные данные'!C11</f>
        <v>1951</v>
      </c>
      <c r="H9" s="46">
        <f>'Исходные данные'!D11</f>
        <v>1778447</v>
      </c>
      <c r="I9" s="47">
        <f>'Расчет КРП'!E7</f>
        <v>1.954169224589406</v>
      </c>
      <c r="J9" s="100" t="s">
        <v>8</v>
      </c>
      <c r="K9" s="138">
        <f t="shared" ref="K9:K18" si="104">((H9/G9)/($H$19/$G$19))/I9</f>
        <v>0.28010016116949449</v>
      </c>
      <c r="L9" s="139">
        <f>$D$19*G9/$G$19</f>
        <v>1368964.6899984928</v>
      </c>
      <c r="M9" s="142">
        <f>(((H9+L9)/G9)/$J$19)/I9</f>
        <v>0.49570806531503542</v>
      </c>
      <c r="N9" s="143" t="s">
        <v>8</v>
      </c>
      <c r="O9" s="144">
        <f t="shared" ref="O9:O18" si="105">$N$19-M9</f>
        <v>0.11284915461239109</v>
      </c>
      <c r="P9" s="156">
        <f>IF(O9&gt;0,G9*I9*(($H$19+$L$19)/$G$19)*O9,0)</f>
        <v>1018408.7558807255</v>
      </c>
      <c r="Q9" s="145">
        <f>IF(($F$19-P$19)&gt;0,P9,$F$19*P9/P$19)</f>
        <v>1018408.7558807255</v>
      </c>
      <c r="R9" s="140" t="s">
        <v>8</v>
      </c>
      <c r="S9" s="45" t="s">
        <v>8</v>
      </c>
      <c r="T9" s="49">
        <f t="shared" ref="T9:T18" si="106">(((H9+L9+Q9)/G9)/$J$19)/I9</f>
        <v>0.65610444297409165</v>
      </c>
      <c r="U9" s="48">
        <f t="shared" ref="U9:U18" si="107">S$19-T9</f>
        <v>7.8788981478819742E-2</v>
      </c>
      <c r="V9" s="50">
        <f t="shared" ref="V9:V18" si="108">IF(U9&gt;0,$G9*$I9*(($H$19+$L$19+$Q$19)/$G$19)*U9,0)</f>
        <v>782888.29463902325</v>
      </c>
      <c r="W9" s="76">
        <f t="shared" ref="W9:W18" si="109">IF((R$19-V$19)&gt;0,V9,R$19*V9/V$19)</f>
        <v>782888.29463902325</v>
      </c>
      <c r="X9" s="72" t="s">
        <v>8</v>
      </c>
      <c r="Y9" s="45" t="s">
        <v>8</v>
      </c>
      <c r="Z9" s="49">
        <f t="shared" ref="Z9:Z18" si="110">(((H9+L9+Q9+W9)/G9)/$J$19)/I9</f>
        <v>0.77940704209911538</v>
      </c>
      <c r="AA9" s="48">
        <f t="shared" ref="AA9:AA18" si="111">Y$19-Z9</f>
        <v>2.6199269798994007E-2</v>
      </c>
      <c r="AB9" s="50">
        <f t="shared" ref="AB9:AB18" si="112">IF(AA9&gt;0,$G9*$I9*(($H$19+$L$19+$Q$19+$W$19)/$G$19)*AA9,0)</f>
        <v>278090.59149667533</v>
      </c>
      <c r="AC9" s="76">
        <f t="shared" ref="AC9:AC18" si="113">IF((X$19-AB$19)&gt;0,AB9,X$19*AB9/AB$19)</f>
        <v>173834.16849421526</v>
      </c>
      <c r="AD9" s="72" t="s">
        <v>8</v>
      </c>
      <c r="AE9" s="45" t="s">
        <v>8</v>
      </c>
      <c r="AF9" s="49">
        <f t="shared" ref="AF9:AF18" si="114">(((H9+L9+Q9+W9+AC9)/G9)/$J$19)/I9</f>
        <v>0.80678541132349768</v>
      </c>
      <c r="AG9" s="48">
        <f t="shared" ref="AG9:AG18" si="115">AE$19-AF9</f>
        <v>2.0333533005107096E-2</v>
      </c>
      <c r="AH9" s="50">
        <f t="shared" ref="AH9:AH18" si="116">IF(AG9&gt;0,$G9*$I9*(($H$19+$L$19+$Q$19+$W$19+$AC$19)/$G$19)*AG9,0)</f>
        <v>219764.27440526083</v>
      </c>
      <c r="AI9" s="76">
        <f t="shared" ref="AI9:AI18" si="117">IF((AD$19-AH$19)&gt;0,AH9,AD$19*AH9/AH$19)</f>
        <v>0</v>
      </c>
      <c r="AJ9" s="72" t="s">
        <v>8</v>
      </c>
      <c r="AK9" s="45" t="s">
        <v>8</v>
      </c>
      <c r="AL9" s="49">
        <f t="shared" ref="AL9:AL18" si="118">(((H9+L9+Q9+W9+AC9+AI9)/G9)/$J$19)/I9</f>
        <v>0.80678541132349768</v>
      </c>
      <c r="AM9" s="48">
        <f t="shared" ref="AM9:AM18" si="119">AK$19-AL9</f>
        <v>2.0333533005107096E-2</v>
      </c>
      <c r="AN9" s="50">
        <f t="shared" ref="AN9:AN18" si="120">IF(AM9&gt;0,$G9*$I9*(($H$19+$L$19+$Q$19+$W$19+$AC$19+$AI$19)/$G$19)*AM9,0)</f>
        <v>219764.27440526083</v>
      </c>
      <c r="AO9" s="76">
        <f t="shared" ref="AO9:AO18" si="121">IF((AJ$19-AN$19)&gt;0,AN9,AJ$19*AN9/AN$19)</f>
        <v>0</v>
      </c>
      <c r="AP9" s="72" t="s">
        <v>8</v>
      </c>
      <c r="AQ9" s="45" t="s">
        <v>8</v>
      </c>
      <c r="AR9" s="49">
        <f t="shared" ref="AR9:AR18" si="122">(((H9+L9+Q9+W9+AC9+AI9+AO9)/G9)/$J$19)/I9</f>
        <v>0.80678541132349768</v>
      </c>
      <c r="AS9" s="48">
        <f t="shared" ref="AS9:AS18" si="123">AQ$19-AR9</f>
        <v>2.0333533005107096E-2</v>
      </c>
      <c r="AT9" s="50">
        <f t="shared" ref="AT9:AT18" si="124">IF(AS9&gt;0,$G9*$I9*(($H$19+$L$19+$Q$19+$W$19+$AC$19+$AI$19+$AO$19)/$G$19)*AS9,0)</f>
        <v>219764.27440526083</v>
      </c>
      <c r="AU9" s="76">
        <f t="shared" ref="AU9:AU18" si="125">IF((AP$19-AT$19)&gt;0,AT9,AP$19*AT9/AT$19)</f>
        <v>0</v>
      </c>
      <c r="AV9" s="72" t="s">
        <v>8</v>
      </c>
      <c r="AW9" s="45" t="s">
        <v>8</v>
      </c>
      <c r="AX9" s="49">
        <f t="shared" ref="AX9:AX18" si="126">(((H9+L9+Q9+W9+AC9+AI9+AO9+AU9)/G9)/$J$19)/I9</f>
        <v>0.80678541132349768</v>
      </c>
      <c r="AY9" s="48">
        <f t="shared" ref="AY9:AY18" si="127">AW$19-AX9</f>
        <v>2.0333533005107096E-2</v>
      </c>
      <c r="AZ9" s="50">
        <f t="shared" ref="AZ9:AZ18" si="128">IF(AY9&gt;0,$G9*$I9*(($H$19+$L$19+$Q$19+$W$19+$AC$19+$AI$19+$AO$19+$AU$19)/$G$19)*AY9,0)</f>
        <v>219764.27440526083</v>
      </c>
      <c r="BA9" s="76">
        <f t="shared" ref="BA9:BA18" si="129">IF((AV$19-AZ$19)&gt;0,AZ9,AV$19*AZ9/AZ$19)</f>
        <v>0</v>
      </c>
      <c r="BB9" s="72" t="s">
        <v>8</v>
      </c>
      <c r="BC9" s="45" t="s">
        <v>8</v>
      </c>
      <c r="BD9" s="49">
        <f t="shared" ref="BD9:BD18" si="130">(((H9+L9+Q9+W9+AC9+AI9+AO9+AU9+BA9)/G9)/$J$19)/I9</f>
        <v>0.80678541132349768</v>
      </c>
      <c r="BE9" s="48">
        <f t="shared" ref="BE9:BE18" si="131">BC$19-BD9</f>
        <v>2.0333533005107096E-2</v>
      </c>
      <c r="BF9" s="50">
        <f t="shared" ref="BF9:BF18" si="132">IF(BE9&gt;0,$G9*$I9*(($H$19+$L$19+$Q$19+$W$19+$AC$19+$AI$19+$AO$19+$AU$19+$BA$19)/$G$19)*BE9,0)</f>
        <v>219764.27440526083</v>
      </c>
      <c r="BG9" s="76">
        <f t="shared" ref="BG9:BG18" si="133">IF((BB$19-BF$19)&gt;0,BF9,BB$19*BF9/BF$19)</f>
        <v>0</v>
      </c>
      <c r="BH9" s="72" t="s">
        <v>8</v>
      </c>
      <c r="BI9" s="45" t="s">
        <v>8</v>
      </c>
      <c r="BJ9" s="49">
        <f t="shared" ref="BJ9:BJ18" si="134">(((H9+L9+Q9+W9+AC9+AI9+AO9+AU9+BA9+BG9)/G9)/$J$19)/I9</f>
        <v>0.80678541132349768</v>
      </c>
      <c r="BK9" s="48">
        <f t="shared" ref="BK9:BK18" si="135">BI$19-BJ9</f>
        <v>2.0333533005107096E-2</v>
      </c>
      <c r="BL9" s="50">
        <f t="shared" ref="BL9:BL18" si="136">IF(BK9&gt;0,$G9*$I9*(($H$19+$L$19+$Q$19+$W$19+$AC$19+$AI$19+$AO$19+$AU$19+$BA$19+$BG$19)/$G$19)*BK9,0)</f>
        <v>219764.27440526083</v>
      </c>
      <c r="BM9" s="76">
        <f t="shared" ref="BM9:BM18" si="137">IF((BH$19-BL$19)&gt;0,BL9,BH$19*BL9/BL$19)</f>
        <v>0</v>
      </c>
      <c r="BN9" s="72" t="s">
        <v>8</v>
      </c>
      <c r="BO9" s="45" t="s">
        <v>8</v>
      </c>
      <c r="BP9" s="49">
        <f t="shared" ref="BP9:BP18" si="138">(((H9+L9+Q9+W9+AC9+AI9+AO9+AU9+BA9+BG9+BM9)/G9)/$J$19)/I9</f>
        <v>0.80678541132349768</v>
      </c>
      <c r="BQ9" s="48">
        <f t="shared" ref="BQ9:BQ18" si="139">BO$19-BP9</f>
        <v>2.0333533005107096E-2</v>
      </c>
      <c r="BR9" s="50">
        <f t="shared" ref="BR9:BR18" si="140">IF(BQ9&gt;0,$G9*$I9*(($H$19+$L$19+$Q$19+$W$19+$AC$19+$AI$19+$AO$19+$AU$19+$BA$19+$BG$19+$BM$19)/$G$19)*BQ9,0)</f>
        <v>219764.27440526083</v>
      </c>
      <c r="BS9" s="112">
        <f t="shared" ref="BS9:BS18" si="141">IF((BN$19-BR$19)&gt;0,BR9,BN$19*BR9/BR$19)</f>
        <v>0</v>
      </c>
      <c r="BT9" s="72" t="s">
        <v>8</v>
      </c>
      <c r="BU9" s="45" t="s">
        <v>8</v>
      </c>
      <c r="BV9" s="49">
        <f t="shared" ref="BV9:BV18" si="142">(((H9+L9+Q9+W9+AC9+AI9+AO9+AU9+BA9+BG9+BM9+BS9)/G9)/$J$19)/I9</f>
        <v>0.80678541132349768</v>
      </c>
      <c r="BW9" s="48">
        <f t="shared" ref="BW9:BW18" si="143">BU$19-BV9</f>
        <v>2.0333533005107096E-2</v>
      </c>
      <c r="BX9" s="50">
        <f t="shared" ref="BX9:BX18" si="144">IF(BW9&gt;0,$G9*$I9*(($H$19+$L$19+$Q$19+$W$19+$AC$19+$AI$19+$AO$19+$AU$19+$BA$19+$BG$19+$BM$19+$BS$19)/$G$19)*BW9,0)</f>
        <v>219764.27440526083</v>
      </c>
      <c r="BY9" s="112">
        <f t="shared" ref="BY9:BY18" si="145">IF((BT$19-BX$19)&gt;0,BX9,BT$19*BX9/BX$19)</f>
        <v>0</v>
      </c>
      <c r="BZ9" s="72" t="s">
        <v>8</v>
      </c>
      <c r="CA9" s="45" t="s">
        <v>8</v>
      </c>
      <c r="CB9" s="49">
        <f t="shared" ref="CB9:CB18" si="146">(((H9+L9+Q9+W9+AC9+AI9+AO9+AU9+BA9+BG9+BM9+BS9+BY9)/G9)/$J$19)/I9</f>
        <v>0.80678541132349768</v>
      </c>
      <c r="CC9" s="48">
        <f t="shared" ref="CC9:CC18" si="147">CA$19-CB9</f>
        <v>2.0333533005107096E-2</v>
      </c>
      <c r="CD9" s="50">
        <f t="shared" ref="CD9:CD18" si="148">IF(CC9&gt;0,$G9*$I9*(($H$19+$L$19+$Q$19+$W$19+$AC$19+$AI$19+$AO$19+$AU$19+$BA$19+$BG$19+$BM$19+$BS$19+$BY$19)/$G$19)*CC9,0)</f>
        <v>219764.27440526083</v>
      </c>
      <c r="CE9" s="112">
        <f t="shared" ref="CE9:CE18" si="149">IF((BZ$19-CD$19)&gt;0,CD9,BZ$19*CD9/CD$19)</f>
        <v>0</v>
      </c>
      <c r="CF9" s="72" t="s">
        <v>8</v>
      </c>
      <c r="CG9" s="45" t="s">
        <v>8</v>
      </c>
      <c r="CH9" s="49">
        <f t="shared" ref="CH9:CH18" si="150">(((H9+L9+Q9+W9+AC9+AI9+AO9+AU9+BA9+BG9+BM9+BS9+BY9+CE9)/G9)/$J$19)/I9</f>
        <v>0.80678541132349768</v>
      </c>
      <c r="CI9" s="48">
        <f t="shared" ref="CI9:CI18" si="151">CG$19-CH9</f>
        <v>2.0333533005107096E-2</v>
      </c>
      <c r="CJ9" s="50">
        <f t="shared" ref="CJ9:CJ18" si="152">IF(CI9&gt;0,$G9*$I9*(($H$19+$L$19+$Q$19+$W$19+$AC$19+$AI$19+$AO$19+$AU$19+$BA$19+$BG$19+$BM$19+$BS$19+$BY$19+$CE$19)/$G$19)*CI9,0)</f>
        <v>219764.27440526083</v>
      </c>
      <c r="CK9" s="112">
        <f t="shared" ref="CK9:CK18" si="153">IF((CF$19-CJ$19)&gt;0,CJ9,CF$19*CJ9/CJ$19)</f>
        <v>0</v>
      </c>
      <c r="CL9" s="72" t="s">
        <v>8</v>
      </c>
      <c r="CM9" s="45" t="s">
        <v>8</v>
      </c>
      <c r="CN9" s="49">
        <f t="shared" ref="CN9:CN18" si="154">(((H9+L9+Q9+W9+AC9+AI9+AO9+AU9+BA9+BG9+BM9+BS9+BY9+CE9+CK9)/G9)/$J$19)/I9</f>
        <v>0.80678541132349768</v>
      </c>
      <c r="CO9" s="48">
        <f t="shared" ref="CO9:CO18" si="155">CM$19-CN9</f>
        <v>2.0333533005107096E-2</v>
      </c>
      <c r="CP9" s="50">
        <f t="shared" ref="CP9:CP18" si="156">IF(CO9&gt;0,$G9*$I9*(($H$19+$L$19+$Q$19+$W$19+$AC$19+$AI$19+$AO$19+$AU$19+$BA$19+$BG$19+$BM$19+$BS$19+$BY$19+$CE$19+$CK$19)/$G$19)*CO9,0)</f>
        <v>219764.27440526083</v>
      </c>
      <c r="CQ9" s="112">
        <f t="shared" ref="CQ9:CQ18" si="157">IF((CL$19-CP$19)&gt;0,CP9,CL$19*CP9/CP$19)</f>
        <v>0</v>
      </c>
      <c r="CR9" s="72" t="s">
        <v>8</v>
      </c>
      <c r="CS9" s="45" t="s">
        <v>8</v>
      </c>
      <c r="CT9" s="49">
        <f t="shared" ref="CT9:CT18" si="158">(((H9+L9+Q9+W9+AC9+AI9+AO9+AU9+BA9+BG9+BM9+BS9+BY9+CE9+CK9+CQ9)/G9)/$J$19)/I9</f>
        <v>0.80678541132349768</v>
      </c>
      <c r="CU9" s="48">
        <f t="shared" ref="CU9:CU18" si="159">CS$19-CT9</f>
        <v>2.0333533005107096E-2</v>
      </c>
      <c r="CV9" s="50">
        <f t="shared" ref="CV9:CV18" si="160">IF(CU9&gt;0,$G9*$I9*(($H$19+$L$19+$Q$19+$W$19+$AC$19+$AI$19+$AO$19+$AU$19+$BA$19+$BG$19+$BM$19+$BS$19+$BY$19+$CE$19+$CK$19+$CQ$19)/$G$19)*CU9,0)</f>
        <v>219764.27440526083</v>
      </c>
      <c r="CW9" s="112">
        <f t="shared" ref="CW9:CW18" si="161">IF((CR$19-CV$19)&gt;0,CV9,CR$19*CV9/CV$19)</f>
        <v>0</v>
      </c>
      <c r="CX9" s="72" t="s">
        <v>8</v>
      </c>
      <c r="CY9" s="45" t="s">
        <v>8</v>
      </c>
      <c r="CZ9" s="49">
        <f t="shared" ref="CZ9:CZ18" si="162">(((H9+L9+Q9+W9+AC9+AI9+AO9+AU9+BA9+BG9+BM9+BS9+BY9+CE9+CK9+CQ9+CW9)/G9)/$J$19)/I9</f>
        <v>0.80678541132349768</v>
      </c>
      <c r="DA9" s="48">
        <f t="shared" ref="DA9:DA18" si="163">CY$19-CZ9</f>
        <v>2.0333533005107096E-2</v>
      </c>
      <c r="DB9" s="50">
        <f t="shared" ref="DB9:DB18" si="164">IF(DA9&gt;0,$G9*$I9*(($H$19+$L$19+$Q$19+$W$19+$AC$19+$AI$19+$AO$19+$AU$19+$BA$19+$BG$19+$BM$19+$BS$19+$BY$19+$CE$19+$CK$19+$CQ$19+$CW$19)/$G$19)*DA9,0)</f>
        <v>219764.27440526083</v>
      </c>
      <c r="DC9" s="112">
        <f t="shared" ref="DC9:DC18" si="165">IF((CX$19-DB$19)&gt;0,DB9,CX$19*DB9/DB$19)</f>
        <v>0</v>
      </c>
      <c r="DD9" s="72" t="s">
        <v>8</v>
      </c>
      <c r="DE9" s="45" t="s">
        <v>8</v>
      </c>
      <c r="DF9" s="49">
        <f t="shared" ref="DF9:DF18" si="166">(((H9+L9+Q9+W9+AC9+AI9+AO9+AU9+BA9+BG9+BM9+BS9+BY9+CE9+CK9+CQ9+CW9+DC9)/G9)/$J$19)/I9</f>
        <v>0.80678541132349768</v>
      </c>
      <c r="DG9" s="48">
        <f t="shared" ref="DG9:DG18" si="167">DE$19-DF9</f>
        <v>2.0333533005107096E-2</v>
      </c>
      <c r="DH9" s="50">
        <f t="shared" ref="DH9:DH18" si="168">IF(DG9&gt;0,$G9*$I9*(($H$19+$L$19+$Q$19+$W$19+$AC$19+$AI$19+$AO$19+$AU$19+$BA$19+$BG$19+$BM$19+$BS$19+$BY$19+$CE$19+$CK$19+$CQ$19+$CW$19+$DC$19)/$G$19)*DG9,0)</f>
        <v>219764.27440526083</v>
      </c>
      <c r="DI9" s="112">
        <f t="shared" ref="DI9:DI18" si="169">IF((DD$19-DH$19)&gt;0,DH9,DD$19*DH9/DH$19)</f>
        <v>0</v>
      </c>
      <c r="DJ9" s="72" t="s">
        <v>8</v>
      </c>
      <c r="DK9" s="45" t="s">
        <v>8</v>
      </c>
      <c r="DL9" s="49">
        <f t="shared" ref="DL9:DL18" si="170">(((H9+L9+Q9+W9+AC9+AI9+AO9+AU9+BA9+BG9+BM9+BS9+BY9+CE9+CK9+CQ9+CW9+DC9+DI9)/G9)/$J$19)/I9</f>
        <v>0.80678541132349768</v>
      </c>
      <c r="DM9" s="48">
        <f t="shared" ref="DM9:DM18" si="171">DK$19-DL9</f>
        <v>2.0333533005107096E-2</v>
      </c>
      <c r="DN9" s="50">
        <f t="shared" ref="DN9:DN18" si="172">IF(DM9&gt;0,$G9*$I9*(($H$19+$L$19+$Q$19+$W$19+$AC$19+$AI$19+$AO$19+$AU$19+$BA$19+$BG$19+$BM$19+$BS$19+$BY$19+$CE$19+$CK$19+$CQ$19+$CW$19+$DC$19+$DI$19)/$G$19)*DM9,0)</f>
        <v>219764.27440526083</v>
      </c>
      <c r="DO9" s="112">
        <f t="shared" ref="DO9:DO18" si="173">IF((DJ$19-DN$19)&gt;0,DN9,DJ$19*DN9/DN$19)</f>
        <v>0</v>
      </c>
      <c r="DP9" s="72" t="s">
        <v>8</v>
      </c>
      <c r="DQ9" s="45" t="s">
        <v>8</v>
      </c>
      <c r="DR9" s="49">
        <f t="shared" ref="DR9:DR18" si="174">(((H9+L9+Q9+W9+AC9+AI9+AO9+AU9+BA9+BG9+BM9+BS9+BY9+CE9+CK9+CQ9+CW9+DC9+DI9+DO9)/G9)/$J$19)/I9</f>
        <v>0.80678541132349768</v>
      </c>
      <c r="DS9" s="48">
        <f t="shared" ref="DS9:DS18" si="175">DQ$19-DR9</f>
        <v>2.0333533005107096E-2</v>
      </c>
      <c r="DT9" s="50">
        <f t="shared" ref="DT9:DT18" si="176">IF(DS9&gt;0,$G9*$I9*(($H$19+$L$19+$Q$19+$W$19+$AC$19+$AI$19+$AO$19+$AU$19+$BA$19+$BG$19+$BM$19+$BS$19+$BY$19+$CE$19+$CK$19+$CQ$19+$CW$19+$DC$19+$DI$19+$DO$19)/$G$19)*DS9,0)</f>
        <v>219764.27440526083</v>
      </c>
      <c r="DU9" s="112">
        <f t="shared" ref="DU9:DU18" si="177">IF((DP$19-DT$19)&gt;0,DT9,DP$19*DT9/DT$19)</f>
        <v>0</v>
      </c>
      <c r="DV9" s="153" t="s">
        <v>8</v>
      </c>
      <c r="DW9" s="143" t="s">
        <v>8</v>
      </c>
      <c r="DX9" s="157">
        <f t="shared" ref="DX9:DX18" si="178">((($H9+$L9+$Q9+$W9+$AC9+$AI9+$AO9+$AU9+$BA9+$BG9+$BM9+$BS9+$BY9+$CE9+$CK9+$CQ9+$CW9+$DC9+$DI9+$DO9+$DU9)/$G9)/$J$19)/$I9</f>
        <v>0.80678541132349768</v>
      </c>
      <c r="DY9" s="144">
        <f t="shared" ref="DY9:DY18" si="179">DW$19-DX9</f>
        <v>2.0333533005107096E-2</v>
      </c>
      <c r="DZ9" s="30">
        <f t="shared" ref="DZ9:DZ18" si="180">IF(DY9&gt;0,$G9*$I9*(($H$19+$L$19+$Q$19+$W$19+$AC$19+$AI$19+$AO$19+$AU$19+$BA$19+$BG$19+$BM$19+$BS$19+$BY$19+$CE$19+$CK$19+$CQ$19+$CW$19+$DC$19+$DI$19+$DO$19+$DU$19)/$G$19)*DY9,0)</f>
        <v>219764.27440526083</v>
      </c>
      <c r="EA9" s="145">
        <f t="shared" ref="EA9:EA18" si="181">IF((DV$19-DZ$19)&gt;0,DZ9,DV$19*DZ9/DZ$19)</f>
        <v>0</v>
      </c>
      <c r="EB9" s="153" t="s">
        <v>8</v>
      </c>
      <c r="EC9" s="143" t="s">
        <v>8</v>
      </c>
      <c r="ED9" s="157">
        <f t="shared" ref="ED9:ED18" si="182">((($H9+$L9+$Q9+$W9+$AC9+$AI9+$AO9+$AU9+$BA9+$BG9+$BM9+$BS9+$BY9+$CE9+$CK9+$CQ9+$CW9+$DC9+$DI9+$DO9+$DU9+$EA9)/$G9)/$J$19)/$I9</f>
        <v>0.80678541132349768</v>
      </c>
      <c r="EE9" s="144">
        <f t="shared" ref="EE9:EE18" si="183">EC$19-ED9</f>
        <v>2.0333533005107096E-2</v>
      </c>
      <c r="EF9" s="30">
        <f t="shared" ref="EF9:EF18" si="184">IF(EE9&gt;0,$G9*$I9*(($H$19+$L$19+$Q$19+$W$19+$AC$19+$AI$19+$AO$19+$AU$19+$BA$19+$BG$19+$BM$19+$BS$19+$BY$19+$CE$19+$CK$19+$CQ$19+$CW$19+$DC$19+$DI$19+$DO$19+$DU$19+$EA$19)/$G$19)*EE9,0)</f>
        <v>219764.27440526083</v>
      </c>
      <c r="EG9" s="145">
        <f t="shared" ref="EG9:EG18" si="185">IF((EB$19-EF$19)&gt;0,EF9,EB$19*EF9/EF$19)</f>
        <v>0</v>
      </c>
      <c r="EH9" s="153" t="s">
        <v>8</v>
      </c>
      <c r="EI9" s="143" t="s">
        <v>8</v>
      </c>
      <c r="EJ9" s="157">
        <f t="shared" ref="EJ9:EJ18" si="186">((($H9+$L9+$Q9+$W9+$AC9+$AI9+$AO9+$AU9+$BA9+$BG9+$BM9+$BS9+$BY9+$CE9+$CK9+$CQ9+$CW9+$DC9+$DI9+$DO9+$DU9+$EA9+$EG9)/$G9)/$J$19)/$I9</f>
        <v>0.80678541132349768</v>
      </c>
      <c r="EK9" s="144">
        <f t="shared" ref="EK9:EK18" si="187">EI$19-EJ9</f>
        <v>2.0333533005107096E-2</v>
      </c>
      <c r="EL9" s="30">
        <f t="shared" ref="EL9:EL18" si="188">IF(EK9&gt;0,$G9*$I9*(($H$19+$L$19+$Q$19+$W$19+$AC$19+$AI$19+$AO$19+$AU$19+$BA$19+$BG$19+$BM$19+$BS$19+$BY$19+$CE$19+$CK$19+$CQ$19+$CW$19+$DC$19+$DI$19+$DO$19+$DU$19+$EA$19+$EG$19)/$G$19)*EK9,0)</f>
        <v>219764.27440526083</v>
      </c>
      <c r="EM9" s="145">
        <f t="shared" ref="EM9:EM18" si="189">IF((EH$19-EL$19)&gt;0,EL9,EH$19*EL9/EL$19)</f>
        <v>0</v>
      </c>
      <c r="EN9" s="72" t="s">
        <v>8</v>
      </c>
      <c r="EO9" s="45" t="s">
        <v>8</v>
      </c>
      <c r="EP9" s="158">
        <f t="shared" ref="EP9:EP18" si="190">((($H9+$L9+$Q9+$W9+$AC9+$AI9+$AO9+$AU9+$BA9+$BG9+$BM9+$BS9+$BY9+$CE9+$CK9+$CQ9+$CW9+$DC9+$DI9+$DO9+$DU9+$EA9+$EG9+$EM9)/$G9)/$J$19)/$I9</f>
        <v>0.80678541132349768</v>
      </c>
      <c r="EQ9" s="48">
        <f t="shared" ref="EQ9:EQ18" si="191">EO$19-EP9</f>
        <v>2.0333533005107096E-2</v>
      </c>
      <c r="ER9" s="50">
        <f t="shared" ref="ER9:ER18" si="192">IF(EQ9&gt;0,$G9*$I9*(($H$19+$L$19+$Q$19+$W$19+$AC$19+$AI$19+$AO$19+$AU$19+$BA$19+$BG$19+$BM$19+$BS$19+$BY$19+$CE$19+$CK$19+$CQ$19+$CW$19+$DC$19+$DI$19+$DO$19+$DU$19+$EA$19+$EG$19+$EM$19)/$G$19)*EQ9,0)</f>
        <v>219764.27440526083</v>
      </c>
      <c r="ES9" s="76">
        <f t="shared" ref="ES9:ES18" si="193">IF((EN$19-ER$19)&gt;0,ER9,EN$19*ER9/ER$19)</f>
        <v>0</v>
      </c>
      <c r="ET9" s="153" t="s">
        <v>8</v>
      </c>
      <c r="EU9" s="143" t="s">
        <v>8</v>
      </c>
      <c r="EV9" s="157">
        <f t="shared" ref="EV9:EV18" si="194">((($H9+$L9+$Q9+$W9+$AC9+$AI9+$AO9+$AU9+$BA9+$BG9+$BM9+$BS9+$BY9+$CE9+$CK9+$CQ9+$CW9+$DC9+$DI9+$DO9+$DU9+$EA9+$EG9+$EM9+$ES9)/$G9)/$J$19)/$I9</f>
        <v>0.80678541132349768</v>
      </c>
      <c r="EW9" s="144">
        <f t="shared" ref="EW9:EW18" si="195">EU$19-EV9</f>
        <v>2.0333533005107096E-2</v>
      </c>
      <c r="EX9" s="30">
        <f t="shared" ref="EX9:EX18" si="196">IF(EW9&gt;0,$G9*$I9*(($H$19+$L$19+$Q$19+$W$19+$AC$19+$AI$19+$AO$19+$AU$19+$BA$19+$BG$19+$BM$19+$BS$19+$BY$19+$CE$19+$CK$19+$CQ$19+$CW$19+$DC$19+$DI$19+$DO$19+$DU$19+$EA$19+$EG$19+$EM$19+$ES$19)/$G$19)*EW9,0)</f>
        <v>219764.27440526083</v>
      </c>
      <c r="EY9" s="145">
        <f t="shared" ref="EY9:EY18" si="197">IF((ET$19-EX$19)&gt;0,EX9,ET$19*EX9/EX$19)</f>
        <v>0</v>
      </c>
      <c r="EZ9" s="153" t="s">
        <v>8</v>
      </c>
      <c r="FA9" s="143" t="s">
        <v>8</v>
      </c>
      <c r="FB9" s="157">
        <f t="shared" ref="FB9:FB18" si="198">((($H9+$L9+$Q9+$W9+$AC9+$AI9+$AO9+$AU9+$BA9+$BG9+$BM9+$BS9+$BY9+$CE9+$CK9+$CQ9+$CW9+$DC9+$DI9+$DO9+$DU9+$EA9+$EG9+$EM9+$ES9+$EY9)/$G9)/$J$19)/$I9</f>
        <v>0.80678541132349768</v>
      </c>
      <c r="FC9" s="144">
        <f t="shared" ref="FC9:FC18" si="199">FA$19-FB9</f>
        <v>2.0333533005107096E-2</v>
      </c>
      <c r="FD9" s="30">
        <f t="shared" ref="FD9:FD18" si="200">IF(FC9&gt;0,$G9*$I9*(($H$19+$L$19+$Q$19+$W$19+$AC$19+$AI$19+$AO$19+$AU$19+$BA$19+$BG$19+$BM$19+$BS$19+$BY$19+$CE$19+$CK$19+$CQ$19+$CW$19+$DC$19+$DI$19+$DO$19+$DU$19+$EA$19+$EG$19+$EM$19+$ES$19+$EY$19)/$G$19)*FC9,0)</f>
        <v>219764.27440526083</v>
      </c>
      <c r="FE9" s="145">
        <f t="shared" ref="FE9:FE18" si="201">IF((EZ$19-FD$19)&gt;0,FD9,EZ$19*FD9/FD$19)</f>
        <v>0</v>
      </c>
      <c r="FF9" s="153" t="s">
        <v>8</v>
      </c>
      <c r="FG9" s="143" t="s">
        <v>8</v>
      </c>
      <c r="FH9" s="157">
        <f t="shared" ref="FH9:FH18" si="202">((($H9+$L9+$Q9+$W9+$AC9+$AI9+$AO9+$AU9+$BA9+$BG9+$BM9+$BS9+$BY9+$CE9+$CK9+$CQ9+$CW9+$DC9+$DI9+$DO9+$DU9+$EA9+$EG9+$EM9+$ES9+$EY9+$FE9)/$G9)/$J$19)/$I9</f>
        <v>0.80678541132349768</v>
      </c>
      <c r="FI9" s="144">
        <f t="shared" ref="FI9:FI18" si="203">FG$19-FH9</f>
        <v>2.0333533005107096E-2</v>
      </c>
      <c r="FJ9" s="30">
        <f t="shared" ref="FJ9:FJ18" si="204">IF(FI9&gt;0,$G9*$I9*(($H$19+$L$19+$Q$19+$W$19+$AC$19+$AI$19+$AO$19+$AU$19+$BA$19+$BG$19+$BM$19+$BS$19+$BY$19+$CE$19+$CK$19+$CQ$19+$CW$19+$DC$19+$DI$19+$DO$19+$DU$19+$EA$19+$EG$19+$EM$19+$ES$19+$EY$19+$FE$19)/$G$19)*FI9,0)</f>
        <v>219764.27440526083</v>
      </c>
      <c r="FK9" s="145">
        <f t="shared" ref="FK9:FK18" si="205">IF((FF$19-FJ$19)&gt;0,FJ9,FF$19*FJ9/FJ$19)</f>
        <v>0</v>
      </c>
      <c r="FL9" s="153" t="s">
        <v>8</v>
      </c>
      <c r="FM9" s="143" t="s">
        <v>8</v>
      </c>
      <c r="FN9" s="157">
        <f t="shared" ref="FN9:FN18" si="206">((($H9+$L9+$Q9+$W9+$AC9+$AI9+$AO9+$AU9+$BA9+$BG9+$BM9+$BS9+$BY9+$CE9+$CK9+$CQ9+$CW9+$DC9+$DI9+$DO9+$DU9+$EA9+$EG9+$EM9+$ES9+$EY9+$FE9+$FK9)/$G9)/$J$19)/$I9</f>
        <v>0.80678541132349768</v>
      </c>
      <c r="FO9" s="144">
        <f t="shared" ref="FO9:FO18" si="207">FM$19-FN9</f>
        <v>2.0333533005107096E-2</v>
      </c>
      <c r="FP9" s="30">
        <f t="shared" ref="FP9:FP18" si="208">IF(FO9&gt;0,$G9*$I9*(($H$19+$L$19+$Q$19+$W$19+$AC$19+$AI$19+$AO$19+$AU$19+$BA$19+$BG$19+$BM$19+$BS$19+$BY$19+$CE$19+$CK$19+$CQ$19+$CW$19+$DC$19+$DI$19+$DO$19+$DU$19+$EA$19+$EG$19+$EM$19+$ES$19+$EY$19+$FE$19+$FK$19)/$G$19)*FO9,0)</f>
        <v>219764.27440526083</v>
      </c>
      <c r="FQ9" s="145">
        <f t="shared" ref="FQ9:FQ18" si="209">IF((FL$19-FP$19)&gt;0,FP9,FL$19*FP9/FP$19)</f>
        <v>0</v>
      </c>
      <c r="FR9" s="153" t="s">
        <v>8</v>
      </c>
      <c r="FS9" s="143" t="s">
        <v>8</v>
      </c>
      <c r="FT9" s="157">
        <f t="shared" ref="FT9:FT18" si="210">((($H9+$L9+$Q9+$W9+$AC9+$AI9+$AO9+$AU9+$BA9+$BG9+$BM9+$BS9+$BY9+$CE9+$CK9+$CQ9+$CW9+$DC9+$DI9+$DO9+$DU9+$EA9+$EG9+$EM9+$ES9+$EY9+$FE9+$FK9+$FQ9)/$G9)/$J$19)/$I9</f>
        <v>0.80678541132349768</v>
      </c>
      <c r="FU9" s="144">
        <f t="shared" ref="FU9:FU18" si="211">FS$19-FT9</f>
        <v>2.0333533005107096E-2</v>
      </c>
      <c r="FV9" s="30">
        <f t="shared" ref="FV9:FV18" si="212">IF(FU9&gt;0,$G9*$I9*(($H$19+$L$19+$Q$19+$W$19+$AC$19+$AI$19+$AO$19+$AU$19+$BA$19+$BG$19+$BM$19+$BS$19+$BY$19+$CE$19+$CK$19+$CQ$19+$CW$19+$DC$19+$DI$19+$DO$19+$DU$19+$EA$19+$EG$19+$EM$19+$ES$19+$EY$19+$FE$19+$FK$19+$FQ$19)/$G$19)*FU9,0)</f>
        <v>219764.27440526083</v>
      </c>
      <c r="FW9" s="145">
        <f t="shared" ref="FW9:FW18" si="213">IF((FR$19-FV$19)&gt;0,FV9,FR$19*FV9/FV$19)</f>
        <v>0</v>
      </c>
      <c r="FX9" s="153" t="s">
        <v>8</v>
      </c>
      <c r="FY9" s="143" t="s">
        <v>8</v>
      </c>
      <c r="FZ9" s="157">
        <f t="shared" ref="FZ9:FZ18" si="214">((($H9+$L9+$Q9+$W9+$AC9+$AI9+$AO9+$AU9+$BA9+$BG9+$BM9+$BS9+$BY9+$CE9+$CK9+$CQ9+$CW9+$DC9+$DI9+$DO9+$DU9+$EA9+$EG9+$EM9+$ES9+$EY9+$FE9+$FK9+$FQ9+$FW9)/$G9)/$J$19)/$I9</f>
        <v>0.80678541132349768</v>
      </c>
      <c r="GA9" s="144">
        <f t="shared" ref="GA9:GA18" si="215">FY$19-FZ9</f>
        <v>2.0333533005107096E-2</v>
      </c>
      <c r="GB9" s="30">
        <f t="shared" ref="GB9:GB18" si="216">IF(GA9&gt;0,$G9*$I9*(($H$19+$L$19+$Q$19+$W$19+$AC$19+$AI$19+$AO$19+$AU$19+$BA$19+$BG$19+$BM$19+$BS$19+$BY$19+$CE$19+$CK$19+$CQ$19+$CW$19+$DC$19+$DI$19+$DO$19+$DU$19+$EA$19+$EG$19+$EM$19+$ES$19+$EY$19+$FE$19+$FK$19+$FQ$19+$FW$19)/$G$19)*GA9,0)</f>
        <v>219764.27440526083</v>
      </c>
      <c r="GC9" s="145">
        <f t="shared" ref="GC9:GC18" si="217">IF((FX$19-GB$19)&gt;0,GB9,FX$19*GB9/GB$19)</f>
        <v>0</v>
      </c>
      <c r="GD9" s="153" t="s">
        <v>8</v>
      </c>
      <c r="GE9" s="143" t="s">
        <v>8</v>
      </c>
      <c r="GF9" s="157">
        <f t="shared" ref="GF9:GF18" si="218">((($H9+$L9+$Q9+$W9+$AC9+$AI9+$AO9+$AU9+$BA9+$BG9+$BM9+$BS9+$BY9+$CE9+$CK9+$CQ9+$CW9+$DC9+$DI9+$DO9+$DU9+$EA9+$EG9+$EM9+$ES9+$EY9+$FE9+$FK9+$FQ9+$FW9+$GC9)/$G9)/$J$19)/$I9</f>
        <v>0.80678541132349768</v>
      </c>
      <c r="GG9" s="144">
        <f t="shared" ref="GG9:GG18" si="219">GE$19-GF9</f>
        <v>2.0333533005107096E-2</v>
      </c>
      <c r="GH9" s="30">
        <f t="shared" ref="GH9:GH18" si="220">IF(GG9&gt;0,$G9*$I9*(($H$19+$L$19+$Q$19+$W$19+$AC$19+$AI$19+$AO$19+$AU$19+$BA$19+$BG$19+$BM$19+$BS$19+$BY$19+$CE$19+$CK$19+$CQ$19+$CW$19+$DC$19+$DI$19+$DO$19+$DU$19+$EA$19+$EG$19+$EM$19+$ES$19+$EY$19+$FE$19+$FK$19+$FQ$19+$FW$19+$GC$19)/$G$19)*GG9,0)</f>
        <v>219764.27440526083</v>
      </c>
      <c r="GI9" s="161">
        <f t="shared" ref="GI9:GI18" si="221">IF((GD$19-GH$19)&gt;0,GH9,GD$19*GH9/GH$19)</f>
        <v>0</v>
      </c>
      <c r="GJ9" s="159">
        <f>Q9+W9+AC9+AI9+AO9+AU9+BA9+BG9+BM9+BS9+BY9+CE9+CK9+CQ9+CW9+DC9+DI9+DO9+DU9+EA9+EG9+EM9+ES9+EY9+FE9+FK9+FQ9+FW9+GC9+GI9</f>
        <v>1975131.2190139638</v>
      </c>
      <c r="GK9" s="146">
        <f t="shared" ref="GK9:GK19" si="222">L9+GJ9</f>
        <v>3344095.9090124564</v>
      </c>
      <c r="GL9" s="167">
        <f>K9+GK9/($H$19/$G$19)/G9/I9</f>
        <v>0.80678541132349757</v>
      </c>
      <c r="GM9" s="146">
        <v>2975350.36</v>
      </c>
      <c r="GN9" s="173">
        <f>GK9-GM9</f>
        <v>368745.54901245655</v>
      </c>
    </row>
    <row r="10" spans="1:196" s="21" customFormat="1" ht="18.75" x14ac:dyDescent="0.3">
      <c r="A10" s="176" t="s">
        <v>171</v>
      </c>
      <c r="B10" s="191" t="s">
        <v>8</v>
      </c>
      <c r="C10" s="137" t="s">
        <v>8</v>
      </c>
      <c r="D10" s="137" t="s">
        <v>8</v>
      </c>
      <c r="E10" s="137" t="s">
        <v>8</v>
      </c>
      <c r="F10" s="137" t="s">
        <v>8</v>
      </c>
      <c r="G10" s="94">
        <f>'Исходные данные'!C12</f>
        <v>3469</v>
      </c>
      <c r="H10" s="27">
        <f>'Исходные данные'!D12</f>
        <v>6807462</v>
      </c>
      <c r="I10" s="28">
        <f>'Расчет КРП'!E8</f>
        <v>1.9655693605588977</v>
      </c>
      <c r="J10" s="101" t="s">
        <v>8</v>
      </c>
      <c r="K10" s="105">
        <f t="shared" si="104"/>
        <v>0.5994934226482479</v>
      </c>
      <c r="L10" s="74">
        <f t="shared" ref="L10:L18" si="223">$D$19*G10/$G$19</f>
        <v>2434104.8229650287</v>
      </c>
      <c r="M10" s="70">
        <f t="shared" ref="M10:M18" si="224">(((H10+L10)/G10)/$J$19)/I10</f>
        <v>0.81385081919396685</v>
      </c>
      <c r="N10" s="26" t="s">
        <v>8</v>
      </c>
      <c r="O10" s="29">
        <f t="shared" si="105"/>
        <v>-0.20529359926654034</v>
      </c>
      <c r="P10" s="30">
        <f t="shared" ref="P10:P18" si="225">IF(O10&gt;0,G10*I10*(($H$19+$L$19)/$G$19)*O10,0)</f>
        <v>0</v>
      </c>
      <c r="Q10" s="77">
        <f t="shared" ref="Q10:Q18" si="226">IF(($F$19-P$19)&gt;0,P10,$F$19*P10/P$19)</f>
        <v>0</v>
      </c>
      <c r="R10" s="141" t="s">
        <v>8</v>
      </c>
      <c r="S10" s="26" t="s">
        <v>8</v>
      </c>
      <c r="T10" s="31">
        <f t="shared" si="106"/>
        <v>0.81385081919396685</v>
      </c>
      <c r="U10" s="29">
        <f t="shared" si="107"/>
        <v>-7.8957394741055453E-2</v>
      </c>
      <c r="V10" s="50">
        <f t="shared" si="108"/>
        <v>0</v>
      </c>
      <c r="W10" s="77">
        <f t="shared" si="109"/>
        <v>0</v>
      </c>
      <c r="X10" s="73" t="s">
        <v>8</v>
      </c>
      <c r="Y10" s="26" t="s">
        <v>8</v>
      </c>
      <c r="Z10" s="31">
        <f t="shared" si="110"/>
        <v>0.81385081919396685</v>
      </c>
      <c r="AA10" s="29">
        <f t="shared" si="111"/>
        <v>-8.2445072958574617E-3</v>
      </c>
      <c r="AB10" s="50">
        <f t="shared" si="112"/>
        <v>0</v>
      </c>
      <c r="AC10" s="77">
        <f t="shared" si="113"/>
        <v>0</v>
      </c>
      <c r="AD10" s="73" t="s">
        <v>8</v>
      </c>
      <c r="AE10" s="26" t="s">
        <v>8</v>
      </c>
      <c r="AF10" s="31">
        <f t="shared" si="114"/>
        <v>0.81385081919396685</v>
      </c>
      <c r="AG10" s="29">
        <f t="shared" si="115"/>
        <v>1.3268125134637931E-2</v>
      </c>
      <c r="AH10" s="50">
        <f t="shared" si="116"/>
        <v>256464.37227725453</v>
      </c>
      <c r="AI10" s="77">
        <f t="shared" si="117"/>
        <v>0</v>
      </c>
      <c r="AJ10" s="73" t="s">
        <v>8</v>
      </c>
      <c r="AK10" s="26" t="s">
        <v>8</v>
      </c>
      <c r="AL10" s="31">
        <f t="shared" si="118"/>
        <v>0.81385081919396685</v>
      </c>
      <c r="AM10" s="29">
        <f t="shared" si="119"/>
        <v>1.3268125134637931E-2</v>
      </c>
      <c r="AN10" s="50">
        <f t="shared" si="120"/>
        <v>256464.37227725453</v>
      </c>
      <c r="AO10" s="77">
        <f t="shared" si="121"/>
        <v>0</v>
      </c>
      <c r="AP10" s="73" t="s">
        <v>8</v>
      </c>
      <c r="AQ10" s="26" t="s">
        <v>8</v>
      </c>
      <c r="AR10" s="31">
        <f t="shared" si="122"/>
        <v>0.81385081919396685</v>
      </c>
      <c r="AS10" s="29">
        <f t="shared" si="123"/>
        <v>1.3268125134637931E-2</v>
      </c>
      <c r="AT10" s="50">
        <f t="shared" si="124"/>
        <v>256464.37227725453</v>
      </c>
      <c r="AU10" s="77">
        <f t="shared" si="125"/>
        <v>0</v>
      </c>
      <c r="AV10" s="73" t="s">
        <v>8</v>
      </c>
      <c r="AW10" s="26" t="s">
        <v>8</v>
      </c>
      <c r="AX10" s="31">
        <f t="shared" si="126"/>
        <v>0.81385081919396685</v>
      </c>
      <c r="AY10" s="29">
        <f t="shared" si="127"/>
        <v>1.3268125134637931E-2</v>
      </c>
      <c r="AZ10" s="50">
        <f t="shared" si="128"/>
        <v>256464.37227725453</v>
      </c>
      <c r="BA10" s="77">
        <f t="shared" si="129"/>
        <v>0</v>
      </c>
      <c r="BB10" s="73" t="s">
        <v>8</v>
      </c>
      <c r="BC10" s="26" t="s">
        <v>8</v>
      </c>
      <c r="BD10" s="31">
        <f t="shared" si="130"/>
        <v>0.81385081919396685</v>
      </c>
      <c r="BE10" s="29">
        <f t="shared" si="131"/>
        <v>1.3268125134637931E-2</v>
      </c>
      <c r="BF10" s="50">
        <f t="shared" si="132"/>
        <v>256464.37227725453</v>
      </c>
      <c r="BG10" s="77">
        <f t="shared" si="133"/>
        <v>0</v>
      </c>
      <c r="BH10" s="73" t="s">
        <v>8</v>
      </c>
      <c r="BI10" s="26" t="s">
        <v>8</v>
      </c>
      <c r="BJ10" s="31">
        <f t="shared" si="134"/>
        <v>0.81385081919396685</v>
      </c>
      <c r="BK10" s="29">
        <f t="shared" si="135"/>
        <v>1.3268125134637931E-2</v>
      </c>
      <c r="BL10" s="50">
        <f t="shared" si="136"/>
        <v>256464.37227725453</v>
      </c>
      <c r="BM10" s="77">
        <f t="shared" si="137"/>
        <v>0</v>
      </c>
      <c r="BN10" s="73" t="s">
        <v>8</v>
      </c>
      <c r="BO10" s="26" t="s">
        <v>8</v>
      </c>
      <c r="BP10" s="31">
        <f t="shared" si="138"/>
        <v>0.81385081919396685</v>
      </c>
      <c r="BQ10" s="29">
        <f t="shared" si="139"/>
        <v>1.3268125134637931E-2</v>
      </c>
      <c r="BR10" s="50">
        <f t="shared" si="140"/>
        <v>256464.37227725453</v>
      </c>
      <c r="BS10" s="113">
        <f t="shared" si="141"/>
        <v>0</v>
      </c>
      <c r="BT10" s="73" t="s">
        <v>8</v>
      </c>
      <c r="BU10" s="26" t="s">
        <v>8</v>
      </c>
      <c r="BV10" s="31">
        <f t="shared" si="142"/>
        <v>0.81385081919396685</v>
      </c>
      <c r="BW10" s="29">
        <f t="shared" si="143"/>
        <v>1.3268125134637931E-2</v>
      </c>
      <c r="BX10" s="50">
        <f t="shared" si="144"/>
        <v>256464.37227725453</v>
      </c>
      <c r="BY10" s="113">
        <f t="shared" si="145"/>
        <v>0</v>
      </c>
      <c r="BZ10" s="73" t="s">
        <v>8</v>
      </c>
      <c r="CA10" s="26" t="s">
        <v>8</v>
      </c>
      <c r="CB10" s="31">
        <f t="shared" si="146"/>
        <v>0.81385081919396685</v>
      </c>
      <c r="CC10" s="29">
        <f t="shared" si="147"/>
        <v>1.3268125134637931E-2</v>
      </c>
      <c r="CD10" s="50">
        <f t="shared" si="148"/>
        <v>256464.37227725453</v>
      </c>
      <c r="CE10" s="113">
        <f t="shared" si="149"/>
        <v>0</v>
      </c>
      <c r="CF10" s="73" t="s">
        <v>8</v>
      </c>
      <c r="CG10" s="26" t="s">
        <v>8</v>
      </c>
      <c r="CH10" s="31">
        <f t="shared" si="150"/>
        <v>0.81385081919396685</v>
      </c>
      <c r="CI10" s="29">
        <f t="shared" si="151"/>
        <v>1.3268125134637931E-2</v>
      </c>
      <c r="CJ10" s="50">
        <f t="shared" si="152"/>
        <v>256464.37227725453</v>
      </c>
      <c r="CK10" s="113">
        <f t="shared" si="153"/>
        <v>0</v>
      </c>
      <c r="CL10" s="73" t="s">
        <v>8</v>
      </c>
      <c r="CM10" s="26" t="s">
        <v>8</v>
      </c>
      <c r="CN10" s="31">
        <f t="shared" si="154"/>
        <v>0.81385081919396685</v>
      </c>
      <c r="CO10" s="29">
        <f t="shared" si="155"/>
        <v>1.3268125134637931E-2</v>
      </c>
      <c r="CP10" s="50">
        <f t="shared" si="156"/>
        <v>256464.37227725453</v>
      </c>
      <c r="CQ10" s="113">
        <f t="shared" si="157"/>
        <v>0</v>
      </c>
      <c r="CR10" s="73" t="s">
        <v>8</v>
      </c>
      <c r="CS10" s="26" t="s">
        <v>8</v>
      </c>
      <c r="CT10" s="31">
        <f t="shared" si="158"/>
        <v>0.81385081919396685</v>
      </c>
      <c r="CU10" s="29">
        <f t="shared" si="159"/>
        <v>1.3268125134637931E-2</v>
      </c>
      <c r="CV10" s="50">
        <f t="shared" si="160"/>
        <v>256464.37227725453</v>
      </c>
      <c r="CW10" s="113">
        <f t="shared" si="161"/>
        <v>0</v>
      </c>
      <c r="CX10" s="73" t="s">
        <v>8</v>
      </c>
      <c r="CY10" s="26" t="s">
        <v>8</v>
      </c>
      <c r="CZ10" s="31">
        <f t="shared" si="162"/>
        <v>0.81385081919396685</v>
      </c>
      <c r="DA10" s="29">
        <f t="shared" si="163"/>
        <v>1.3268125134637931E-2</v>
      </c>
      <c r="DB10" s="50">
        <f t="shared" si="164"/>
        <v>256464.37227725453</v>
      </c>
      <c r="DC10" s="113">
        <f t="shared" si="165"/>
        <v>0</v>
      </c>
      <c r="DD10" s="73" t="s">
        <v>8</v>
      </c>
      <c r="DE10" s="26" t="s">
        <v>8</v>
      </c>
      <c r="DF10" s="31">
        <f t="shared" si="166"/>
        <v>0.81385081919396685</v>
      </c>
      <c r="DG10" s="29">
        <f t="shared" si="167"/>
        <v>1.3268125134637931E-2</v>
      </c>
      <c r="DH10" s="50">
        <f t="shared" si="168"/>
        <v>256464.37227725453</v>
      </c>
      <c r="DI10" s="113">
        <f t="shared" si="169"/>
        <v>0</v>
      </c>
      <c r="DJ10" s="73" t="s">
        <v>8</v>
      </c>
      <c r="DK10" s="26" t="s">
        <v>8</v>
      </c>
      <c r="DL10" s="31">
        <f t="shared" si="170"/>
        <v>0.81385081919396685</v>
      </c>
      <c r="DM10" s="29">
        <f t="shared" si="171"/>
        <v>1.3268125134637931E-2</v>
      </c>
      <c r="DN10" s="50">
        <f t="shared" si="172"/>
        <v>256464.37227725453</v>
      </c>
      <c r="DO10" s="113">
        <f t="shared" si="173"/>
        <v>0</v>
      </c>
      <c r="DP10" s="73" t="s">
        <v>8</v>
      </c>
      <c r="DQ10" s="26" t="s">
        <v>8</v>
      </c>
      <c r="DR10" s="31">
        <f t="shared" si="174"/>
        <v>0.81385081919396685</v>
      </c>
      <c r="DS10" s="29">
        <f t="shared" si="175"/>
        <v>1.3268125134637931E-2</v>
      </c>
      <c r="DT10" s="50">
        <f t="shared" si="176"/>
        <v>256464.37227725453</v>
      </c>
      <c r="DU10" s="113">
        <f t="shared" si="177"/>
        <v>0</v>
      </c>
      <c r="DV10" s="73" t="s">
        <v>8</v>
      </c>
      <c r="DW10" s="26" t="s">
        <v>8</v>
      </c>
      <c r="DX10" s="31">
        <f t="shared" si="178"/>
        <v>0.81385081919396685</v>
      </c>
      <c r="DY10" s="29">
        <f t="shared" si="179"/>
        <v>1.3268125134637931E-2</v>
      </c>
      <c r="DZ10" s="30">
        <f t="shared" si="180"/>
        <v>256464.37227725453</v>
      </c>
      <c r="EA10" s="77">
        <f t="shared" si="181"/>
        <v>0</v>
      </c>
      <c r="EB10" s="73" t="s">
        <v>8</v>
      </c>
      <c r="EC10" s="26" t="s">
        <v>8</v>
      </c>
      <c r="ED10" s="31">
        <f t="shared" si="182"/>
        <v>0.81385081919396685</v>
      </c>
      <c r="EE10" s="29">
        <f t="shared" si="183"/>
        <v>1.3268125134637931E-2</v>
      </c>
      <c r="EF10" s="30">
        <f t="shared" si="184"/>
        <v>256464.37227725453</v>
      </c>
      <c r="EG10" s="77">
        <f t="shared" si="185"/>
        <v>0</v>
      </c>
      <c r="EH10" s="73" t="s">
        <v>8</v>
      </c>
      <c r="EI10" s="26" t="s">
        <v>8</v>
      </c>
      <c r="EJ10" s="31">
        <f t="shared" si="186"/>
        <v>0.81385081919396685</v>
      </c>
      <c r="EK10" s="29">
        <f t="shared" si="187"/>
        <v>1.3268125134637931E-2</v>
      </c>
      <c r="EL10" s="30">
        <f t="shared" si="188"/>
        <v>256464.37227725453</v>
      </c>
      <c r="EM10" s="77">
        <f t="shared" si="189"/>
        <v>0</v>
      </c>
      <c r="EN10" s="73" t="s">
        <v>8</v>
      </c>
      <c r="EO10" s="26" t="s">
        <v>8</v>
      </c>
      <c r="EP10" s="31">
        <f t="shared" si="190"/>
        <v>0.81385081919396685</v>
      </c>
      <c r="EQ10" s="29">
        <f t="shared" si="191"/>
        <v>1.3268125134637931E-2</v>
      </c>
      <c r="ER10" s="30">
        <f t="shared" si="192"/>
        <v>256464.37227725453</v>
      </c>
      <c r="ES10" s="77">
        <f t="shared" si="193"/>
        <v>0</v>
      </c>
      <c r="ET10" s="73" t="s">
        <v>8</v>
      </c>
      <c r="EU10" s="26" t="s">
        <v>8</v>
      </c>
      <c r="EV10" s="31">
        <f t="shared" si="194"/>
        <v>0.81385081919396685</v>
      </c>
      <c r="EW10" s="29">
        <f t="shared" si="195"/>
        <v>1.3268125134637931E-2</v>
      </c>
      <c r="EX10" s="30">
        <f t="shared" si="196"/>
        <v>256464.37227725453</v>
      </c>
      <c r="EY10" s="77">
        <f t="shared" si="197"/>
        <v>0</v>
      </c>
      <c r="EZ10" s="73" t="s">
        <v>8</v>
      </c>
      <c r="FA10" s="26" t="s">
        <v>8</v>
      </c>
      <c r="FB10" s="31">
        <f t="shared" si="198"/>
        <v>0.81385081919396685</v>
      </c>
      <c r="FC10" s="29">
        <f t="shared" si="199"/>
        <v>1.3268125134637931E-2</v>
      </c>
      <c r="FD10" s="30">
        <f t="shared" si="200"/>
        <v>256464.37227725453</v>
      </c>
      <c r="FE10" s="77">
        <f t="shared" si="201"/>
        <v>0</v>
      </c>
      <c r="FF10" s="73" t="s">
        <v>8</v>
      </c>
      <c r="FG10" s="26" t="s">
        <v>8</v>
      </c>
      <c r="FH10" s="31">
        <f t="shared" si="202"/>
        <v>0.81385081919396685</v>
      </c>
      <c r="FI10" s="29">
        <f t="shared" si="203"/>
        <v>1.3268125134637931E-2</v>
      </c>
      <c r="FJ10" s="30">
        <f t="shared" si="204"/>
        <v>256464.37227725453</v>
      </c>
      <c r="FK10" s="77">
        <f t="shared" si="205"/>
        <v>0</v>
      </c>
      <c r="FL10" s="73" t="s">
        <v>8</v>
      </c>
      <c r="FM10" s="26" t="s">
        <v>8</v>
      </c>
      <c r="FN10" s="31">
        <f t="shared" si="206"/>
        <v>0.81385081919396685</v>
      </c>
      <c r="FO10" s="29">
        <f t="shared" si="207"/>
        <v>1.3268125134637931E-2</v>
      </c>
      <c r="FP10" s="30">
        <f t="shared" si="208"/>
        <v>256464.37227725453</v>
      </c>
      <c r="FQ10" s="77">
        <f t="shared" si="209"/>
        <v>0</v>
      </c>
      <c r="FR10" s="73" t="s">
        <v>8</v>
      </c>
      <c r="FS10" s="26" t="s">
        <v>8</v>
      </c>
      <c r="FT10" s="31">
        <f t="shared" si="210"/>
        <v>0.81385081919396685</v>
      </c>
      <c r="FU10" s="29">
        <f t="shared" si="211"/>
        <v>1.3268125134637931E-2</v>
      </c>
      <c r="FV10" s="30">
        <f t="shared" si="212"/>
        <v>256464.37227725453</v>
      </c>
      <c r="FW10" s="77">
        <f t="shared" si="213"/>
        <v>0</v>
      </c>
      <c r="FX10" s="73" t="s">
        <v>8</v>
      </c>
      <c r="FY10" s="26" t="s">
        <v>8</v>
      </c>
      <c r="FZ10" s="31">
        <f t="shared" si="214"/>
        <v>0.81385081919396685</v>
      </c>
      <c r="GA10" s="29">
        <f t="shared" si="215"/>
        <v>1.3268125134637931E-2</v>
      </c>
      <c r="GB10" s="30">
        <f t="shared" si="216"/>
        <v>256464.37227725453</v>
      </c>
      <c r="GC10" s="77">
        <f t="shared" si="217"/>
        <v>0</v>
      </c>
      <c r="GD10" s="73" t="s">
        <v>8</v>
      </c>
      <c r="GE10" s="26" t="s">
        <v>8</v>
      </c>
      <c r="GF10" s="31">
        <f t="shared" si="218"/>
        <v>0.81385081919396685</v>
      </c>
      <c r="GG10" s="29">
        <f t="shared" si="219"/>
        <v>1.3268125134637931E-2</v>
      </c>
      <c r="GH10" s="30">
        <f t="shared" si="220"/>
        <v>256464.37227725453</v>
      </c>
      <c r="GI10" s="113">
        <f t="shared" si="221"/>
        <v>0</v>
      </c>
      <c r="GJ10" s="147">
        <f t="shared" ref="GJ10:GJ18" si="227">Q10+W10+AC10+AI10+AO10+AU10+BA10+BG10+BM10+BS10+BY10+CE10+CK10+CQ10+CW10+DC10+DI10+DO10+DU10+EA10+EG10+EM10+ES10+EY10+FE10+FK10+FQ10+FW10+GC10+GI10</f>
        <v>0</v>
      </c>
      <c r="GK10" s="88">
        <f t="shared" si="222"/>
        <v>2434104.8229650287</v>
      </c>
      <c r="GL10" s="168">
        <f>K10+GK10/($H$19/$G$19)/G10/I10</f>
        <v>0.81385081919396685</v>
      </c>
      <c r="GM10" s="88">
        <v>3459870.35</v>
      </c>
      <c r="GN10" s="173">
        <f>GK10-GM10</f>
        <v>-1025765.5270349714</v>
      </c>
    </row>
    <row r="11" spans="1:196" s="21" customFormat="1" ht="18.75" x14ac:dyDescent="0.3">
      <c r="A11" s="176" t="s">
        <v>172</v>
      </c>
      <c r="B11" s="191" t="s">
        <v>8</v>
      </c>
      <c r="C11" s="137" t="s">
        <v>8</v>
      </c>
      <c r="D11" s="137" t="s">
        <v>8</v>
      </c>
      <c r="E11" s="137" t="s">
        <v>8</v>
      </c>
      <c r="F11" s="137" t="s">
        <v>8</v>
      </c>
      <c r="G11" s="94">
        <f>'Исходные данные'!C13</f>
        <v>2884</v>
      </c>
      <c r="H11" s="27">
        <f>'Исходные данные'!D13</f>
        <v>4415925</v>
      </c>
      <c r="I11" s="28">
        <f>'Расчет КРП'!E9</f>
        <v>1.9223580505928095</v>
      </c>
      <c r="J11" s="101" t="s">
        <v>8</v>
      </c>
      <c r="K11" s="105">
        <f t="shared" si="104"/>
        <v>0.47828198421153945</v>
      </c>
      <c r="L11" s="74">
        <f t="shared" si="223"/>
        <v>2023625.9179680436</v>
      </c>
      <c r="M11" s="70">
        <f t="shared" si="224"/>
        <v>0.69745776716701402</v>
      </c>
      <c r="N11" s="26" t="s">
        <v>8</v>
      </c>
      <c r="O11" s="29">
        <f t="shared" si="105"/>
        <v>-8.8900547239587513E-2</v>
      </c>
      <c r="P11" s="30">
        <f t="shared" si="225"/>
        <v>0</v>
      </c>
      <c r="Q11" s="77">
        <f t="shared" si="226"/>
        <v>0</v>
      </c>
      <c r="R11" s="141" t="s">
        <v>8</v>
      </c>
      <c r="S11" s="26" t="s">
        <v>8</v>
      </c>
      <c r="T11" s="31">
        <f t="shared" si="106"/>
        <v>0.69745776716701402</v>
      </c>
      <c r="U11" s="29">
        <f t="shared" si="107"/>
        <v>3.7435657285897372E-2</v>
      </c>
      <c r="V11" s="50">
        <f t="shared" si="108"/>
        <v>540916.05774054735</v>
      </c>
      <c r="W11" s="77">
        <f t="shared" si="109"/>
        <v>540916.05774054735</v>
      </c>
      <c r="X11" s="73" t="s">
        <v>8</v>
      </c>
      <c r="Y11" s="26" t="s">
        <v>8</v>
      </c>
      <c r="Z11" s="31">
        <f t="shared" si="110"/>
        <v>0.75604354599886303</v>
      </c>
      <c r="AA11" s="29">
        <f t="shared" si="111"/>
        <v>4.9562765899246353E-2</v>
      </c>
      <c r="AB11" s="50">
        <f t="shared" si="112"/>
        <v>765002.30052683735</v>
      </c>
      <c r="AC11" s="77">
        <f t="shared" si="113"/>
        <v>478202.22213391354</v>
      </c>
      <c r="AD11" s="73" t="s">
        <v>8</v>
      </c>
      <c r="AE11" s="26" t="s">
        <v>8</v>
      </c>
      <c r="AF11" s="31">
        <f t="shared" si="114"/>
        <v>0.80783688661415332</v>
      </c>
      <c r="AG11" s="29">
        <f t="shared" si="115"/>
        <v>1.9282057714451462E-2</v>
      </c>
      <c r="AH11" s="50">
        <f t="shared" si="116"/>
        <v>303045.42007576214</v>
      </c>
      <c r="AI11" s="77">
        <f t="shared" si="117"/>
        <v>0</v>
      </c>
      <c r="AJ11" s="73" t="s">
        <v>8</v>
      </c>
      <c r="AK11" s="26" t="s">
        <v>8</v>
      </c>
      <c r="AL11" s="31">
        <f t="shared" si="118"/>
        <v>0.80783688661415332</v>
      </c>
      <c r="AM11" s="29">
        <f t="shared" si="119"/>
        <v>1.9282057714451462E-2</v>
      </c>
      <c r="AN11" s="50">
        <f t="shared" si="120"/>
        <v>303045.42007576214</v>
      </c>
      <c r="AO11" s="77">
        <f t="shared" si="121"/>
        <v>0</v>
      </c>
      <c r="AP11" s="73" t="s">
        <v>8</v>
      </c>
      <c r="AQ11" s="26" t="s">
        <v>8</v>
      </c>
      <c r="AR11" s="31">
        <f t="shared" si="122"/>
        <v>0.80783688661415332</v>
      </c>
      <c r="AS11" s="29">
        <f t="shared" si="123"/>
        <v>1.9282057714451462E-2</v>
      </c>
      <c r="AT11" s="50">
        <f t="shared" si="124"/>
        <v>303045.42007576214</v>
      </c>
      <c r="AU11" s="77">
        <f t="shared" si="125"/>
        <v>0</v>
      </c>
      <c r="AV11" s="73" t="s">
        <v>8</v>
      </c>
      <c r="AW11" s="26" t="s">
        <v>8</v>
      </c>
      <c r="AX11" s="31">
        <f t="shared" si="126"/>
        <v>0.80783688661415332</v>
      </c>
      <c r="AY11" s="29">
        <f t="shared" si="127"/>
        <v>1.9282057714451462E-2</v>
      </c>
      <c r="AZ11" s="50">
        <f t="shared" si="128"/>
        <v>303045.42007576214</v>
      </c>
      <c r="BA11" s="77">
        <f t="shared" si="129"/>
        <v>0</v>
      </c>
      <c r="BB11" s="73" t="s">
        <v>8</v>
      </c>
      <c r="BC11" s="26" t="s">
        <v>8</v>
      </c>
      <c r="BD11" s="31">
        <f t="shared" si="130"/>
        <v>0.80783688661415332</v>
      </c>
      <c r="BE11" s="29">
        <f t="shared" si="131"/>
        <v>1.9282057714451462E-2</v>
      </c>
      <c r="BF11" s="50">
        <f t="shared" si="132"/>
        <v>303045.42007576214</v>
      </c>
      <c r="BG11" s="77">
        <f t="shared" si="133"/>
        <v>0</v>
      </c>
      <c r="BH11" s="73" t="s">
        <v>8</v>
      </c>
      <c r="BI11" s="26" t="s">
        <v>8</v>
      </c>
      <c r="BJ11" s="31">
        <f t="shared" si="134"/>
        <v>0.80783688661415332</v>
      </c>
      <c r="BK11" s="29">
        <f t="shared" si="135"/>
        <v>1.9282057714451462E-2</v>
      </c>
      <c r="BL11" s="50">
        <f t="shared" si="136"/>
        <v>303045.42007576214</v>
      </c>
      <c r="BM11" s="77">
        <f t="shared" si="137"/>
        <v>0</v>
      </c>
      <c r="BN11" s="73" t="s">
        <v>8</v>
      </c>
      <c r="BO11" s="26" t="s">
        <v>8</v>
      </c>
      <c r="BP11" s="31">
        <f t="shared" si="138"/>
        <v>0.80783688661415332</v>
      </c>
      <c r="BQ11" s="29">
        <f t="shared" si="139"/>
        <v>1.9282057714451462E-2</v>
      </c>
      <c r="BR11" s="50">
        <f t="shared" si="140"/>
        <v>303045.42007576214</v>
      </c>
      <c r="BS11" s="113">
        <f t="shared" si="141"/>
        <v>0</v>
      </c>
      <c r="BT11" s="73" t="s">
        <v>8</v>
      </c>
      <c r="BU11" s="26" t="s">
        <v>8</v>
      </c>
      <c r="BV11" s="31">
        <f t="shared" si="142"/>
        <v>0.80783688661415332</v>
      </c>
      <c r="BW11" s="29">
        <f t="shared" si="143"/>
        <v>1.9282057714451462E-2</v>
      </c>
      <c r="BX11" s="50">
        <f t="shared" si="144"/>
        <v>303045.42007576214</v>
      </c>
      <c r="BY11" s="113">
        <f t="shared" si="145"/>
        <v>0</v>
      </c>
      <c r="BZ11" s="73" t="s">
        <v>8</v>
      </c>
      <c r="CA11" s="26" t="s">
        <v>8</v>
      </c>
      <c r="CB11" s="31">
        <f t="shared" si="146"/>
        <v>0.80783688661415332</v>
      </c>
      <c r="CC11" s="29">
        <f t="shared" si="147"/>
        <v>1.9282057714451462E-2</v>
      </c>
      <c r="CD11" s="50">
        <f t="shared" si="148"/>
        <v>303045.42007576214</v>
      </c>
      <c r="CE11" s="113">
        <f t="shared" si="149"/>
        <v>0</v>
      </c>
      <c r="CF11" s="73" t="s">
        <v>8</v>
      </c>
      <c r="CG11" s="26" t="s">
        <v>8</v>
      </c>
      <c r="CH11" s="31">
        <f t="shared" si="150"/>
        <v>0.80783688661415332</v>
      </c>
      <c r="CI11" s="29">
        <f t="shared" si="151"/>
        <v>1.9282057714451462E-2</v>
      </c>
      <c r="CJ11" s="50">
        <f t="shared" si="152"/>
        <v>303045.42007576214</v>
      </c>
      <c r="CK11" s="113">
        <f t="shared" si="153"/>
        <v>0</v>
      </c>
      <c r="CL11" s="73" t="s">
        <v>8</v>
      </c>
      <c r="CM11" s="26" t="s">
        <v>8</v>
      </c>
      <c r="CN11" s="31">
        <f t="shared" si="154"/>
        <v>0.80783688661415332</v>
      </c>
      <c r="CO11" s="29">
        <f t="shared" si="155"/>
        <v>1.9282057714451462E-2</v>
      </c>
      <c r="CP11" s="50">
        <f t="shared" si="156"/>
        <v>303045.42007576214</v>
      </c>
      <c r="CQ11" s="113">
        <f t="shared" si="157"/>
        <v>0</v>
      </c>
      <c r="CR11" s="73" t="s">
        <v>8</v>
      </c>
      <c r="CS11" s="26" t="s">
        <v>8</v>
      </c>
      <c r="CT11" s="31">
        <f t="shared" si="158"/>
        <v>0.80783688661415332</v>
      </c>
      <c r="CU11" s="29">
        <f t="shared" si="159"/>
        <v>1.9282057714451462E-2</v>
      </c>
      <c r="CV11" s="50">
        <f t="shared" si="160"/>
        <v>303045.42007576214</v>
      </c>
      <c r="CW11" s="113">
        <f t="shared" si="161"/>
        <v>0</v>
      </c>
      <c r="CX11" s="73" t="s">
        <v>8</v>
      </c>
      <c r="CY11" s="26" t="s">
        <v>8</v>
      </c>
      <c r="CZ11" s="31">
        <f t="shared" si="162"/>
        <v>0.80783688661415332</v>
      </c>
      <c r="DA11" s="29">
        <f t="shared" si="163"/>
        <v>1.9282057714451462E-2</v>
      </c>
      <c r="DB11" s="50">
        <f t="shared" si="164"/>
        <v>303045.42007576214</v>
      </c>
      <c r="DC11" s="113">
        <f t="shared" si="165"/>
        <v>0</v>
      </c>
      <c r="DD11" s="73" t="s">
        <v>8</v>
      </c>
      <c r="DE11" s="26" t="s">
        <v>8</v>
      </c>
      <c r="DF11" s="31">
        <f t="shared" si="166"/>
        <v>0.80783688661415332</v>
      </c>
      <c r="DG11" s="29">
        <f t="shared" si="167"/>
        <v>1.9282057714451462E-2</v>
      </c>
      <c r="DH11" s="50">
        <f t="shared" si="168"/>
        <v>303045.42007576214</v>
      </c>
      <c r="DI11" s="113">
        <f t="shared" si="169"/>
        <v>0</v>
      </c>
      <c r="DJ11" s="73" t="s">
        <v>8</v>
      </c>
      <c r="DK11" s="26" t="s">
        <v>8</v>
      </c>
      <c r="DL11" s="31">
        <f t="shared" si="170"/>
        <v>0.80783688661415332</v>
      </c>
      <c r="DM11" s="29">
        <f t="shared" si="171"/>
        <v>1.9282057714451462E-2</v>
      </c>
      <c r="DN11" s="50">
        <f t="shared" si="172"/>
        <v>303045.42007576214</v>
      </c>
      <c r="DO11" s="113">
        <f t="shared" si="173"/>
        <v>0</v>
      </c>
      <c r="DP11" s="73" t="s">
        <v>8</v>
      </c>
      <c r="DQ11" s="26" t="s">
        <v>8</v>
      </c>
      <c r="DR11" s="31">
        <f t="shared" si="174"/>
        <v>0.80783688661415332</v>
      </c>
      <c r="DS11" s="29">
        <f t="shared" si="175"/>
        <v>1.9282057714451462E-2</v>
      </c>
      <c r="DT11" s="50">
        <f t="shared" si="176"/>
        <v>303045.42007576214</v>
      </c>
      <c r="DU11" s="113">
        <f t="shared" si="177"/>
        <v>0</v>
      </c>
      <c r="DV11" s="73" t="s">
        <v>8</v>
      </c>
      <c r="DW11" s="26" t="s">
        <v>8</v>
      </c>
      <c r="DX11" s="31">
        <f t="shared" si="178"/>
        <v>0.80783688661415332</v>
      </c>
      <c r="DY11" s="29">
        <f t="shared" si="179"/>
        <v>1.9282057714451462E-2</v>
      </c>
      <c r="DZ11" s="30">
        <f t="shared" si="180"/>
        <v>303045.42007576214</v>
      </c>
      <c r="EA11" s="77">
        <f t="shared" si="181"/>
        <v>0</v>
      </c>
      <c r="EB11" s="73" t="s">
        <v>8</v>
      </c>
      <c r="EC11" s="26" t="s">
        <v>8</v>
      </c>
      <c r="ED11" s="31">
        <f t="shared" si="182"/>
        <v>0.80783688661415332</v>
      </c>
      <c r="EE11" s="29">
        <f t="shared" si="183"/>
        <v>1.9282057714451462E-2</v>
      </c>
      <c r="EF11" s="30">
        <f t="shared" si="184"/>
        <v>303045.42007576214</v>
      </c>
      <c r="EG11" s="77">
        <f t="shared" si="185"/>
        <v>0</v>
      </c>
      <c r="EH11" s="73" t="s">
        <v>8</v>
      </c>
      <c r="EI11" s="26" t="s">
        <v>8</v>
      </c>
      <c r="EJ11" s="31">
        <f t="shared" si="186"/>
        <v>0.80783688661415332</v>
      </c>
      <c r="EK11" s="29">
        <f t="shared" si="187"/>
        <v>1.9282057714451462E-2</v>
      </c>
      <c r="EL11" s="30">
        <f t="shared" si="188"/>
        <v>303045.42007576214</v>
      </c>
      <c r="EM11" s="77">
        <f t="shared" si="189"/>
        <v>0</v>
      </c>
      <c r="EN11" s="73" t="s">
        <v>8</v>
      </c>
      <c r="EO11" s="26" t="s">
        <v>8</v>
      </c>
      <c r="EP11" s="31">
        <f t="shared" si="190"/>
        <v>0.80783688661415332</v>
      </c>
      <c r="EQ11" s="29">
        <f t="shared" si="191"/>
        <v>1.9282057714451462E-2</v>
      </c>
      <c r="ER11" s="30">
        <f t="shared" si="192"/>
        <v>303045.42007576214</v>
      </c>
      <c r="ES11" s="77">
        <f t="shared" si="193"/>
        <v>0</v>
      </c>
      <c r="ET11" s="73" t="s">
        <v>8</v>
      </c>
      <c r="EU11" s="26" t="s">
        <v>8</v>
      </c>
      <c r="EV11" s="31">
        <f t="shared" si="194"/>
        <v>0.80783688661415332</v>
      </c>
      <c r="EW11" s="29">
        <f t="shared" si="195"/>
        <v>1.9282057714451462E-2</v>
      </c>
      <c r="EX11" s="30">
        <f t="shared" si="196"/>
        <v>303045.42007576214</v>
      </c>
      <c r="EY11" s="77">
        <f t="shared" si="197"/>
        <v>0</v>
      </c>
      <c r="EZ11" s="73" t="s">
        <v>8</v>
      </c>
      <c r="FA11" s="26" t="s">
        <v>8</v>
      </c>
      <c r="FB11" s="31">
        <f t="shared" si="198"/>
        <v>0.80783688661415332</v>
      </c>
      <c r="FC11" s="29">
        <f t="shared" si="199"/>
        <v>1.9282057714451462E-2</v>
      </c>
      <c r="FD11" s="30">
        <f t="shared" si="200"/>
        <v>303045.42007576214</v>
      </c>
      <c r="FE11" s="77">
        <f t="shared" si="201"/>
        <v>0</v>
      </c>
      <c r="FF11" s="73" t="s">
        <v>8</v>
      </c>
      <c r="FG11" s="26" t="s">
        <v>8</v>
      </c>
      <c r="FH11" s="31">
        <f t="shared" si="202"/>
        <v>0.80783688661415332</v>
      </c>
      <c r="FI11" s="29">
        <f t="shared" si="203"/>
        <v>1.9282057714451462E-2</v>
      </c>
      <c r="FJ11" s="30">
        <f t="shared" si="204"/>
        <v>303045.42007576214</v>
      </c>
      <c r="FK11" s="77">
        <f t="shared" si="205"/>
        <v>0</v>
      </c>
      <c r="FL11" s="73" t="s">
        <v>8</v>
      </c>
      <c r="FM11" s="26" t="s">
        <v>8</v>
      </c>
      <c r="FN11" s="31">
        <f t="shared" si="206"/>
        <v>0.80783688661415332</v>
      </c>
      <c r="FO11" s="29">
        <f t="shared" si="207"/>
        <v>1.9282057714451462E-2</v>
      </c>
      <c r="FP11" s="30">
        <f t="shared" si="208"/>
        <v>303045.42007576214</v>
      </c>
      <c r="FQ11" s="77">
        <f t="shared" si="209"/>
        <v>0</v>
      </c>
      <c r="FR11" s="73" t="s">
        <v>8</v>
      </c>
      <c r="FS11" s="26" t="s">
        <v>8</v>
      </c>
      <c r="FT11" s="31">
        <f t="shared" si="210"/>
        <v>0.80783688661415332</v>
      </c>
      <c r="FU11" s="29">
        <f t="shared" si="211"/>
        <v>1.9282057714451462E-2</v>
      </c>
      <c r="FV11" s="30">
        <f t="shared" si="212"/>
        <v>303045.42007576214</v>
      </c>
      <c r="FW11" s="77">
        <f t="shared" si="213"/>
        <v>0</v>
      </c>
      <c r="FX11" s="73" t="s">
        <v>8</v>
      </c>
      <c r="FY11" s="26" t="s">
        <v>8</v>
      </c>
      <c r="FZ11" s="31">
        <f t="shared" si="214"/>
        <v>0.80783688661415332</v>
      </c>
      <c r="GA11" s="29">
        <f t="shared" si="215"/>
        <v>1.9282057714451462E-2</v>
      </c>
      <c r="GB11" s="30">
        <f t="shared" si="216"/>
        <v>303045.42007576214</v>
      </c>
      <c r="GC11" s="77">
        <f t="shared" si="217"/>
        <v>0</v>
      </c>
      <c r="GD11" s="73" t="s">
        <v>8</v>
      </c>
      <c r="GE11" s="26" t="s">
        <v>8</v>
      </c>
      <c r="GF11" s="31">
        <f t="shared" si="218"/>
        <v>0.80783688661415332</v>
      </c>
      <c r="GG11" s="29">
        <f t="shared" si="219"/>
        <v>1.9282057714451462E-2</v>
      </c>
      <c r="GH11" s="30">
        <f t="shared" si="220"/>
        <v>303045.42007576214</v>
      </c>
      <c r="GI11" s="113">
        <f t="shared" si="221"/>
        <v>0</v>
      </c>
      <c r="GJ11" s="147">
        <f t="shared" si="227"/>
        <v>1019118.2798744609</v>
      </c>
      <c r="GK11" s="88">
        <f t="shared" si="222"/>
        <v>3042744.1978425044</v>
      </c>
      <c r="GL11" s="168">
        <f>K11+GK11/($H$19/$G$19)/G11/I11</f>
        <v>0.8078368866141532</v>
      </c>
      <c r="GM11" s="88">
        <v>5052607.33</v>
      </c>
      <c r="GN11" s="173">
        <f>GK11-GM11</f>
        <v>-2009863.1321574957</v>
      </c>
    </row>
    <row r="12" spans="1:196" s="21" customFormat="1" ht="18.75" x14ac:dyDescent="0.3">
      <c r="A12" s="176" t="s">
        <v>173</v>
      </c>
      <c r="B12" s="191" t="s">
        <v>8</v>
      </c>
      <c r="C12" s="137" t="s">
        <v>8</v>
      </c>
      <c r="D12" s="137" t="s">
        <v>8</v>
      </c>
      <c r="E12" s="137" t="s">
        <v>8</v>
      </c>
      <c r="F12" s="137" t="s">
        <v>8</v>
      </c>
      <c r="G12" s="94">
        <f>'Исходные данные'!C14</f>
        <v>1068</v>
      </c>
      <c r="H12" s="27">
        <f>'Исходные данные'!D14</f>
        <v>744708</v>
      </c>
      <c r="I12" s="28">
        <f>'Расчет КРП'!E10</f>
        <v>2.051497845248428</v>
      </c>
      <c r="J12" s="101" t="s">
        <v>8</v>
      </c>
      <c r="K12" s="105">
        <f t="shared" si="104"/>
        <v>0.20409650688570805</v>
      </c>
      <c r="L12" s="74">
        <f t="shared" si="223"/>
        <v>749387.12912270124</v>
      </c>
      <c r="M12" s="70">
        <f t="shared" si="224"/>
        <v>0.40947538741210554</v>
      </c>
      <c r="N12" s="26" t="s">
        <v>8</v>
      </c>
      <c r="O12" s="29">
        <f t="shared" si="105"/>
        <v>0.19908183251532097</v>
      </c>
      <c r="P12" s="30">
        <f t="shared" si="225"/>
        <v>1032472.0963847328</v>
      </c>
      <c r="Q12" s="77">
        <f t="shared" si="226"/>
        <v>1032472.0963847328</v>
      </c>
      <c r="R12" s="141" t="s">
        <v>8</v>
      </c>
      <c r="S12" s="26" t="s">
        <v>8</v>
      </c>
      <c r="T12" s="31">
        <f t="shared" si="106"/>
        <v>0.69243723061654006</v>
      </c>
      <c r="U12" s="29">
        <f t="shared" si="107"/>
        <v>4.2456193836371336E-2</v>
      </c>
      <c r="V12" s="50">
        <f t="shared" si="108"/>
        <v>242436.63636202473</v>
      </c>
      <c r="W12" s="77">
        <f t="shared" si="109"/>
        <v>242436.63636202473</v>
      </c>
      <c r="X12" s="73" t="s">
        <v>8</v>
      </c>
      <c r="Y12" s="26" t="s">
        <v>8</v>
      </c>
      <c r="Z12" s="31">
        <f t="shared" si="110"/>
        <v>0.75888001171008257</v>
      </c>
      <c r="AA12" s="29">
        <f t="shared" si="111"/>
        <v>4.6726300188026815E-2</v>
      </c>
      <c r="AB12" s="50">
        <f t="shared" si="112"/>
        <v>285023.96827336506</v>
      </c>
      <c r="AC12" s="77">
        <f t="shared" si="113"/>
        <v>178168.21582874138</v>
      </c>
      <c r="AD12" s="73" t="s">
        <v>8</v>
      </c>
      <c r="AE12" s="26" t="s">
        <v>8</v>
      </c>
      <c r="AF12" s="31">
        <f t="shared" si="114"/>
        <v>0.80770923133536532</v>
      </c>
      <c r="AG12" s="29">
        <f t="shared" si="115"/>
        <v>1.9409712993239459E-2</v>
      </c>
      <c r="AH12" s="50">
        <f t="shared" si="116"/>
        <v>120555.28139423834</v>
      </c>
      <c r="AI12" s="77">
        <f t="shared" si="117"/>
        <v>0</v>
      </c>
      <c r="AJ12" s="73" t="s">
        <v>8</v>
      </c>
      <c r="AK12" s="26" t="s">
        <v>8</v>
      </c>
      <c r="AL12" s="31">
        <f t="shared" si="118"/>
        <v>0.80770923133536532</v>
      </c>
      <c r="AM12" s="29">
        <f t="shared" si="119"/>
        <v>1.9409712993239459E-2</v>
      </c>
      <c r="AN12" s="50">
        <f t="shared" si="120"/>
        <v>120555.28139423834</v>
      </c>
      <c r="AO12" s="77">
        <f t="shared" si="121"/>
        <v>0</v>
      </c>
      <c r="AP12" s="73" t="s">
        <v>8</v>
      </c>
      <c r="AQ12" s="26" t="s">
        <v>8</v>
      </c>
      <c r="AR12" s="31">
        <f t="shared" si="122"/>
        <v>0.80770923133536532</v>
      </c>
      <c r="AS12" s="29">
        <f t="shared" si="123"/>
        <v>1.9409712993239459E-2</v>
      </c>
      <c r="AT12" s="50">
        <f t="shared" si="124"/>
        <v>120555.28139423834</v>
      </c>
      <c r="AU12" s="77">
        <f t="shared" si="125"/>
        <v>0</v>
      </c>
      <c r="AV12" s="73" t="s">
        <v>8</v>
      </c>
      <c r="AW12" s="26" t="s">
        <v>8</v>
      </c>
      <c r="AX12" s="31">
        <f t="shared" si="126"/>
        <v>0.80770923133536532</v>
      </c>
      <c r="AY12" s="29">
        <f t="shared" si="127"/>
        <v>1.9409712993239459E-2</v>
      </c>
      <c r="AZ12" s="50">
        <f t="shared" si="128"/>
        <v>120555.28139423834</v>
      </c>
      <c r="BA12" s="77">
        <f t="shared" si="129"/>
        <v>0</v>
      </c>
      <c r="BB12" s="73" t="s">
        <v>8</v>
      </c>
      <c r="BC12" s="26" t="s">
        <v>8</v>
      </c>
      <c r="BD12" s="31">
        <f t="shared" si="130"/>
        <v>0.80770923133536532</v>
      </c>
      <c r="BE12" s="29">
        <f t="shared" si="131"/>
        <v>1.9409712993239459E-2</v>
      </c>
      <c r="BF12" s="50">
        <f t="shared" si="132"/>
        <v>120555.28139423834</v>
      </c>
      <c r="BG12" s="77">
        <f t="shared" si="133"/>
        <v>0</v>
      </c>
      <c r="BH12" s="73" t="s">
        <v>8</v>
      </c>
      <c r="BI12" s="26" t="s">
        <v>8</v>
      </c>
      <c r="BJ12" s="31">
        <f t="shared" si="134"/>
        <v>0.80770923133536532</v>
      </c>
      <c r="BK12" s="29">
        <f t="shared" si="135"/>
        <v>1.9409712993239459E-2</v>
      </c>
      <c r="BL12" s="50">
        <f t="shared" si="136"/>
        <v>120555.28139423834</v>
      </c>
      <c r="BM12" s="77">
        <f t="shared" si="137"/>
        <v>0</v>
      </c>
      <c r="BN12" s="73" t="s">
        <v>8</v>
      </c>
      <c r="BO12" s="26" t="s">
        <v>8</v>
      </c>
      <c r="BP12" s="31">
        <f t="shared" si="138"/>
        <v>0.80770923133536532</v>
      </c>
      <c r="BQ12" s="29">
        <f t="shared" si="139"/>
        <v>1.9409712993239459E-2</v>
      </c>
      <c r="BR12" s="50">
        <f t="shared" si="140"/>
        <v>120555.28139423834</v>
      </c>
      <c r="BS12" s="113">
        <f t="shared" si="141"/>
        <v>0</v>
      </c>
      <c r="BT12" s="73" t="s">
        <v>8</v>
      </c>
      <c r="BU12" s="26" t="s">
        <v>8</v>
      </c>
      <c r="BV12" s="31">
        <f t="shared" si="142"/>
        <v>0.80770923133536532</v>
      </c>
      <c r="BW12" s="29">
        <f t="shared" si="143"/>
        <v>1.9409712993239459E-2</v>
      </c>
      <c r="BX12" s="50">
        <f t="shared" si="144"/>
        <v>120555.28139423834</v>
      </c>
      <c r="BY12" s="113">
        <f t="shared" si="145"/>
        <v>0</v>
      </c>
      <c r="BZ12" s="73" t="s">
        <v>8</v>
      </c>
      <c r="CA12" s="26" t="s">
        <v>8</v>
      </c>
      <c r="CB12" s="31">
        <f t="shared" si="146"/>
        <v>0.80770923133536532</v>
      </c>
      <c r="CC12" s="29">
        <f t="shared" si="147"/>
        <v>1.9409712993239459E-2</v>
      </c>
      <c r="CD12" s="50">
        <f t="shared" si="148"/>
        <v>120555.28139423834</v>
      </c>
      <c r="CE12" s="113">
        <f t="shared" si="149"/>
        <v>0</v>
      </c>
      <c r="CF12" s="73" t="s">
        <v>8</v>
      </c>
      <c r="CG12" s="26" t="s">
        <v>8</v>
      </c>
      <c r="CH12" s="31">
        <f t="shared" si="150"/>
        <v>0.80770923133536532</v>
      </c>
      <c r="CI12" s="29">
        <f t="shared" si="151"/>
        <v>1.9409712993239459E-2</v>
      </c>
      <c r="CJ12" s="50">
        <f t="shared" si="152"/>
        <v>120555.28139423834</v>
      </c>
      <c r="CK12" s="113">
        <f t="shared" si="153"/>
        <v>0</v>
      </c>
      <c r="CL12" s="73" t="s">
        <v>8</v>
      </c>
      <c r="CM12" s="26" t="s">
        <v>8</v>
      </c>
      <c r="CN12" s="31">
        <f t="shared" si="154"/>
        <v>0.80770923133536532</v>
      </c>
      <c r="CO12" s="29">
        <f t="shared" si="155"/>
        <v>1.9409712993239459E-2</v>
      </c>
      <c r="CP12" s="50">
        <f t="shared" si="156"/>
        <v>120555.28139423834</v>
      </c>
      <c r="CQ12" s="113">
        <f t="shared" si="157"/>
        <v>0</v>
      </c>
      <c r="CR12" s="73" t="s">
        <v>8</v>
      </c>
      <c r="CS12" s="26" t="s">
        <v>8</v>
      </c>
      <c r="CT12" s="31">
        <f t="shared" si="158"/>
        <v>0.80770923133536532</v>
      </c>
      <c r="CU12" s="29">
        <f t="shared" si="159"/>
        <v>1.9409712993239459E-2</v>
      </c>
      <c r="CV12" s="50">
        <f t="shared" si="160"/>
        <v>120555.28139423834</v>
      </c>
      <c r="CW12" s="113">
        <f t="shared" si="161"/>
        <v>0</v>
      </c>
      <c r="CX12" s="73" t="s">
        <v>8</v>
      </c>
      <c r="CY12" s="26" t="s">
        <v>8</v>
      </c>
      <c r="CZ12" s="31">
        <f t="shared" si="162"/>
        <v>0.80770923133536532</v>
      </c>
      <c r="DA12" s="29">
        <f t="shared" si="163"/>
        <v>1.9409712993239459E-2</v>
      </c>
      <c r="DB12" s="50">
        <f t="shared" si="164"/>
        <v>120555.28139423834</v>
      </c>
      <c r="DC12" s="113">
        <f t="shared" si="165"/>
        <v>0</v>
      </c>
      <c r="DD12" s="73" t="s">
        <v>8</v>
      </c>
      <c r="DE12" s="26" t="s">
        <v>8</v>
      </c>
      <c r="DF12" s="31">
        <f t="shared" si="166"/>
        <v>0.80770923133536532</v>
      </c>
      <c r="DG12" s="29">
        <f t="shared" si="167"/>
        <v>1.9409712993239459E-2</v>
      </c>
      <c r="DH12" s="50">
        <f t="shared" si="168"/>
        <v>120555.28139423834</v>
      </c>
      <c r="DI12" s="113">
        <f t="shared" si="169"/>
        <v>0</v>
      </c>
      <c r="DJ12" s="73" t="s">
        <v>8</v>
      </c>
      <c r="DK12" s="26" t="s">
        <v>8</v>
      </c>
      <c r="DL12" s="31">
        <f t="shared" si="170"/>
        <v>0.80770923133536532</v>
      </c>
      <c r="DM12" s="29">
        <f t="shared" si="171"/>
        <v>1.9409712993239459E-2</v>
      </c>
      <c r="DN12" s="50">
        <f t="shared" si="172"/>
        <v>120555.28139423834</v>
      </c>
      <c r="DO12" s="113">
        <f t="shared" si="173"/>
        <v>0</v>
      </c>
      <c r="DP12" s="73" t="s">
        <v>8</v>
      </c>
      <c r="DQ12" s="26" t="s">
        <v>8</v>
      </c>
      <c r="DR12" s="31">
        <f t="shared" si="174"/>
        <v>0.80770923133536532</v>
      </c>
      <c r="DS12" s="29">
        <f t="shared" si="175"/>
        <v>1.9409712993239459E-2</v>
      </c>
      <c r="DT12" s="50">
        <f t="shared" si="176"/>
        <v>120555.28139423834</v>
      </c>
      <c r="DU12" s="113">
        <f t="shared" si="177"/>
        <v>0</v>
      </c>
      <c r="DV12" s="73" t="s">
        <v>8</v>
      </c>
      <c r="DW12" s="26" t="s">
        <v>8</v>
      </c>
      <c r="DX12" s="31">
        <f t="shared" si="178"/>
        <v>0.80770923133536532</v>
      </c>
      <c r="DY12" s="29">
        <f t="shared" si="179"/>
        <v>1.9409712993239459E-2</v>
      </c>
      <c r="DZ12" s="30">
        <f t="shared" si="180"/>
        <v>120555.28139423834</v>
      </c>
      <c r="EA12" s="77">
        <f t="shared" si="181"/>
        <v>0</v>
      </c>
      <c r="EB12" s="73" t="s">
        <v>8</v>
      </c>
      <c r="EC12" s="26" t="s">
        <v>8</v>
      </c>
      <c r="ED12" s="31">
        <f t="shared" si="182"/>
        <v>0.80770923133536532</v>
      </c>
      <c r="EE12" s="29">
        <f t="shared" si="183"/>
        <v>1.9409712993239459E-2</v>
      </c>
      <c r="EF12" s="30">
        <f t="shared" si="184"/>
        <v>120555.28139423834</v>
      </c>
      <c r="EG12" s="77">
        <f t="shared" si="185"/>
        <v>0</v>
      </c>
      <c r="EH12" s="73" t="s">
        <v>8</v>
      </c>
      <c r="EI12" s="26" t="s">
        <v>8</v>
      </c>
      <c r="EJ12" s="31">
        <f t="shared" si="186"/>
        <v>0.80770923133536532</v>
      </c>
      <c r="EK12" s="29">
        <f t="shared" si="187"/>
        <v>1.9409712993239459E-2</v>
      </c>
      <c r="EL12" s="30">
        <f t="shared" si="188"/>
        <v>120555.28139423834</v>
      </c>
      <c r="EM12" s="77">
        <f t="shared" si="189"/>
        <v>0</v>
      </c>
      <c r="EN12" s="73" t="s">
        <v>8</v>
      </c>
      <c r="EO12" s="26" t="s">
        <v>8</v>
      </c>
      <c r="EP12" s="31">
        <f t="shared" si="190"/>
        <v>0.80770923133536532</v>
      </c>
      <c r="EQ12" s="29">
        <f t="shared" si="191"/>
        <v>1.9409712993239459E-2</v>
      </c>
      <c r="ER12" s="30">
        <f t="shared" si="192"/>
        <v>120555.28139423834</v>
      </c>
      <c r="ES12" s="77">
        <f t="shared" si="193"/>
        <v>0</v>
      </c>
      <c r="ET12" s="73" t="s">
        <v>8</v>
      </c>
      <c r="EU12" s="26" t="s">
        <v>8</v>
      </c>
      <c r="EV12" s="31">
        <f t="shared" si="194"/>
        <v>0.80770923133536532</v>
      </c>
      <c r="EW12" s="29">
        <f t="shared" si="195"/>
        <v>1.9409712993239459E-2</v>
      </c>
      <c r="EX12" s="30">
        <f t="shared" si="196"/>
        <v>120555.28139423834</v>
      </c>
      <c r="EY12" s="77">
        <f t="shared" si="197"/>
        <v>0</v>
      </c>
      <c r="EZ12" s="73" t="s">
        <v>8</v>
      </c>
      <c r="FA12" s="26" t="s">
        <v>8</v>
      </c>
      <c r="FB12" s="31">
        <f t="shared" si="198"/>
        <v>0.80770923133536532</v>
      </c>
      <c r="FC12" s="29">
        <f t="shared" si="199"/>
        <v>1.9409712993239459E-2</v>
      </c>
      <c r="FD12" s="30">
        <f t="shared" si="200"/>
        <v>120555.28139423834</v>
      </c>
      <c r="FE12" s="77">
        <f t="shared" si="201"/>
        <v>0</v>
      </c>
      <c r="FF12" s="73" t="s">
        <v>8</v>
      </c>
      <c r="FG12" s="26" t="s">
        <v>8</v>
      </c>
      <c r="FH12" s="31">
        <f t="shared" si="202"/>
        <v>0.80770923133536532</v>
      </c>
      <c r="FI12" s="29">
        <f t="shared" si="203"/>
        <v>1.9409712993239459E-2</v>
      </c>
      <c r="FJ12" s="30">
        <f t="shared" si="204"/>
        <v>120555.28139423834</v>
      </c>
      <c r="FK12" s="77">
        <f t="shared" si="205"/>
        <v>0</v>
      </c>
      <c r="FL12" s="73" t="s">
        <v>8</v>
      </c>
      <c r="FM12" s="26" t="s">
        <v>8</v>
      </c>
      <c r="FN12" s="31">
        <f t="shared" si="206"/>
        <v>0.80770923133536532</v>
      </c>
      <c r="FO12" s="29">
        <f t="shared" si="207"/>
        <v>1.9409712993239459E-2</v>
      </c>
      <c r="FP12" s="30">
        <f t="shared" si="208"/>
        <v>120555.28139423834</v>
      </c>
      <c r="FQ12" s="77">
        <f t="shared" si="209"/>
        <v>0</v>
      </c>
      <c r="FR12" s="73" t="s">
        <v>8</v>
      </c>
      <c r="FS12" s="26" t="s">
        <v>8</v>
      </c>
      <c r="FT12" s="31">
        <f t="shared" si="210"/>
        <v>0.80770923133536532</v>
      </c>
      <c r="FU12" s="29">
        <f t="shared" si="211"/>
        <v>1.9409712993239459E-2</v>
      </c>
      <c r="FV12" s="30">
        <f t="shared" si="212"/>
        <v>120555.28139423834</v>
      </c>
      <c r="FW12" s="77">
        <f t="shared" si="213"/>
        <v>0</v>
      </c>
      <c r="FX12" s="73" t="s">
        <v>8</v>
      </c>
      <c r="FY12" s="26" t="s">
        <v>8</v>
      </c>
      <c r="FZ12" s="31">
        <f t="shared" si="214"/>
        <v>0.80770923133536532</v>
      </c>
      <c r="GA12" s="29">
        <f t="shared" si="215"/>
        <v>1.9409712993239459E-2</v>
      </c>
      <c r="GB12" s="30">
        <f t="shared" si="216"/>
        <v>120555.28139423834</v>
      </c>
      <c r="GC12" s="77">
        <f t="shared" si="217"/>
        <v>0</v>
      </c>
      <c r="GD12" s="73" t="s">
        <v>8</v>
      </c>
      <c r="GE12" s="26" t="s">
        <v>8</v>
      </c>
      <c r="GF12" s="31">
        <f t="shared" si="218"/>
        <v>0.80770923133536532</v>
      </c>
      <c r="GG12" s="29">
        <f t="shared" si="219"/>
        <v>1.9409712993239459E-2</v>
      </c>
      <c r="GH12" s="30">
        <f t="shared" si="220"/>
        <v>120555.28139423834</v>
      </c>
      <c r="GI12" s="113">
        <f t="shared" si="221"/>
        <v>0</v>
      </c>
      <c r="GJ12" s="147">
        <f t="shared" si="227"/>
        <v>1453076.948575499</v>
      </c>
      <c r="GK12" s="88">
        <f t="shared" si="222"/>
        <v>2202464.0776982</v>
      </c>
      <c r="GL12" s="168">
        <f>K12+GK12/($H$19/$G$19)/G12/I12</f>
        <v>0.80770923133536521</v>
      </c>
      <c r="GM12" s="88">
        <v>2105448.6</v>
      </c>
      <c r="GN12" s="173">
        <f>GK12-GM12</f>
        <v>97015.477698199917</v>
      </c>
    </row>
    <row r="13" spans="1:196" s="21" customFormat="1" ht="15.75" customHeight="1" x14ac:dyDescent="0.3">
      <c r="A13" s="176" t="s">
        <v>174</v>
      </c>
      <c r="B13" s="191" t="s">
        <v>8</v>
      </c>
      <c r="C13" s="137" t="s">
        <v>8</v>
      </c>
      <c r="D13" s="137" t="s">
        <v>8</v>
      </c>
      <c r="E13" s="137" t="s">
        <v>8</v>
      </c>
      <c r="F13" s="137" t="s">
        <v>8</v>
      </c>
      <c r="G13" s="94">
        <f>'Исходные данные'!C15</f>
        <v>3773</v>
      </c>
      <c r="H13" s="27">
        <f>'Исходные данные'!D15</f>
        <v>4078608</v>
      </c>
      <c r="I13" s="28">
        <f>'Расчет КРП'!E11</f>
        <v>1.9517581305963345</v>
      </c>
      <c r="J13" s="101" t="s">
        <v>8</v>
      </c>
      <c r="K13" s="105">
        <f t="shared" si="104"/>
        <v>0.33257609888665346</v>
      </c>
      <c r="L13" s="74">
        <f t="shared" si="223"/>
        <v>2647413.5188950864</v>
      </c>
      <c r="M13" s="70">
        <f t="shared" si="224"/>
        <v>0.5484503531062096</v>
      </c>
      <c r="N13" s="26" t="s">
        <v>8</v>
      </c>
      <c r="O13" s="29">
        <f t="shared" si="105"/>
        <v>6.0106866821216909E-2</v>
      </c>
      <c r="P13" s="30">
        <f t="shared" si="225"/>
        <v>1047710.4322519355</v>
      </c>
      <c r="Q13" s="77">
        <f t="shared" si="226"/>
        <v>1047710.4322519355</v>
      </c>
      <c r="R13" s="141" t="s">
        <v>8</v>
      </c>
      <c r="S13" s="26" t="s">
        <v>8</v>
      </c>
      <c r="T13" s="31">
        <f t="shared" si="106"/>
        <v>0.63388230643960131</v>
      </c>
      <c r="U13" s="29">
        <f t="shared" si="107"/>
        <v>0.10101111801331009</v>
      </c>
      <c r="V13" s="50">
        <f t="shared" si="108"/>
        <v>1938638.5970001111</v>
      </c>
      <c r="W13" s="77">
        <f t="shared" si="109"/>
        <v>1938638.5970001111</v>
      </c>
      <c r="X13" s="73" t="s">
        <v>8</v>
      </c>
      <c r="Y13" s="26" t="s">
        <v>8</v>
      </c>
      <c r="Z13" s="31">
        <f t="shared" si="110"/>
        <v>0.79196194089856187</v>
      </c>
      <c r="AA13" s="29">
        <f t="shared" si="111"/>
        <v>1.3644370999547517E-2</v>
      </c>
      <c r="AB13" s="50">
        <f t="shared" si="112"/>
        <v>279733.18604115228</v>
      </c>
      <c r="AC13" s="77">
        <f t="shared" si="113"/>
        <v>174860.95280674993</v>
      </c>
      <c r="AD13" s="73" t="s">
        <v>8</v>
      </c>
      <c r="AE13" s="26" t="s">
        <v>8</v>
      </c>
      <c r="AF13" s="31">
        <f t="shared" si="114"/>
        <v>0.80622037748576802</v>
      </c>
      <c r="AG13" s="29">
        <f t="shared" si="115"/>
        <v>2.0898566842836752E-2</v>
      </c>
      <c r="AH13" s="50">
        <f t="shared" si="116"/>
        <v>436268.76117232343</v>
      </c>
      <c r="AI13" s="77">
        <f t="shared" si="117"/>
        <v>0</v>
      </c>
      <c r="AJ13" s="73" t="s">
        <v>8</v>
      </c>
      <c r="AK13" s="26" t="s">
        <v>8</v>
      </c>
      <c r="AL13" s="31">
        <f t="shared" si="118"/>
        <v>0.80622037748576802</v>
      </c>
      <c r="AM13" s="29">
        <f t="shared" si="119"/>
        <v>2.0898566842836752E-2</v>
      </c>
      <c r="AN13" s="50">
        <f t="shared" si="120"/>
        <v>436268.76117232343</v>
      </c>
      <c r="AO13" s="77">
        <f t="shared" si="121"/>
        <v>0</v>
      </c>
      <c r="AP13" s="73" t="s">
        <v>8</v>
      </c>
      <c r="AQ13" s="26" t="s">
        <v>8</v>
      </c>
      <c r="AR13" s="31">
        <f t="shared" si="122"/>
        <v>0.80622037748576802</v>
      </c>
      <c r="AS13" s="29">
        <f t="shared" si="123"/>
        <v>2.0898566842836752E-2</v>
      </c>
      <c r="AT13" s="50">
        <f t="shared" si="124"/>
        <v>436268.76117232343</v>
      </c>
      <c r="AU13" s="77">
        <f t="shared" si="125"/>
        <v>0</v>
      </c>
      <c r="AV13" s="73" t="s">
        <v>8</v>
      </c>
      <c r="AW13" s="26" t="s">
        <v>8</v>
      </c>
      <c r="AX13" s="31">
        <f t="shared" si="126"/>
        <v>0.80622037748576802</v>
      </c>
      <c r="AY13" s="29">
        <f t="shared" si="127"/>
        <v>2.0898566842836752E-2</v>
      </c>
      <c r="AZ13" s="50">
        <f t="shared" si="128"/>
        <v>436268.76117232343</v>
      </c>
      <c r="BA13" s="77">
        <f t="shared" si="129"/>
        <v>0</v>
      </c>
      <c r="BB13" s="73" t="s">
        <v>8</v>
      </c>
      <c r="BC13" s="26" t="s">
        <v>8</v>
      </c>
      <c r="BD13" s="31">
        <f t="shared" si="130"/>
        <v>0.80622037748576802</v>
      </c>
      <c r="BE13" s="29">
        <f t="shared" si="131"/>
        <v>2.0898566842836752E-2</v>
      </c>
      <c r="BF13" s="50">
        <f t="shared" si="132"/>
        <v>436268.76117232343</v>
      </c>
      <c r="BG13" s="77">
        <f t="shared" si="133"/>
        <v>0</v>
      </c>
      <c r="BH13" s="73" t="s">
        <v>8</v>
      </c>
      <c r="BI13" s="26" t="s">
        <v>8</v>
      </c>
      <c r="BJ13" s="31">
        <f t="shared" si="134"/>
        <v>0.80622037748576802</v>
      </c>
      <c r="BK13" s="29">
        <f t="shared" si="135"/>
        <v>2.0898566842836752E-2</v>
      </c>
      <c r="BL13" s="50">
        <f t="shared" si="136"/>
        <v>436268.76117232343</v>
      </c>
      <c r="BM13" s="77">
        <f t="shared" si="137"/>
        <v>0</v>
      </c>
      <c r="BN13" s="73" t="s">
        <v>8</v>
      </c>
      <c r="BO13" s="26" t="s">
        <v>8</v>
      </c>
      <c r="BP13" s="31">
        <f t="shared" si="138"/>
        <v>0.80622037748576802</v>
      </c>
      <c r="BQ13" s="29">
        <f t="shared" si="139"/>
        <v>2.0898566842836752E-2</v>
      </c>
      <c r="BR13" s="50">
        <f t="shared" si="140"/>
        <v>436268.76117232343</v>
      </c>
      <c r="BS13" s="113">
        <f t="shared" si="141"/>
        <v>0</v>
      </c>
      <c r="BT13" s="73" t="s">
        <v>8</v>
      </c>
      <c r="BU13" s="26" t="s">
        <v>8</v>
      </c>
      <c r="BV13" s="31">
        <f t="shared" si="142"/>
        <v>0.80622037748576802</v>
      </c>
      <c r="BW13" s="29">
        <f t="shared" si="143"/>
        <v>2.0898566842836752E-2</v>
      </c>
      <c r="BX13" s="50">
        <f t="shared" si="144"/>
        <v>436268.76117232343</v>
      </c>
      <c r="BY13" s="113">
        <f t="shared" si="145"/>
        <v>0</v>
      </c>
      <c r="BZ13" s="73" t="s">
        <v>8</v>
      </c>
      <c r="CA13" s="26" t="s">
        <v>8</v>
      </c>
      <c r="CB13" s="31">
        <f t="shared" si="146"/>
        <v>0.80622037748576802</v>
      </c>
      <c r="CC13" s="29">
        <f t="shared" si="147"/>
        <v>2.0898566842836752E-2</v>
      </c>
      <c r="CD13" s="50">
        <f t="shared" si="148"/>
        <v>436268.76117232343</v>
      </c>
      <c r="CE13" s="113">
        <f t="shared" si="149"/>
        <v>0</v>
      </c>
      <c r="CF13" s="73" t="s">
        <v>8</v>
      </c>
      <c r="CG13" s="26" t="s">
        <v>8</v>
      </c>
      <c r="CH13" s="31">
        <f t="shared" si="150"/>
        <v>0.80622037748576802</v>
      </c>
      <c r="CI13" s="29">
        <f t="shared" si="151"/>
        <v>2.0898566842836752E-2</v>
      </c>
      <c r="CJ13" s="50">
        <f t="shared" si="152"/>
        <v>436268.76117232343</v>
      </c>
      <c r="CK13" s="113">
        <f t="shared" si="153"/>
        <v>0</v>
      </c>
      <c r="CL13" s="73" t="s">
        <v>8</v>
      </c>
      <c r="CM13" s="26" t="s">
        <v>8</v>
      </c>
      <c r="CN13" s="31">
        <f t="shared" si="154"/>
        <v>0.80622037748576802</v>
      </c>
      <c r="CO13" s="29">
        <f t="shared" si="155"/>
        <v>2.0898566842836752E-2</v>
      </c>
      <c r="CP13" s="50">
        <f t="shared" si="156"/>
        <v>436268.76117232343</v>
      </c>
      <c r="CQ13" s="113">
        <f t="shared" si="157"/>
        <v>0</v>
      </c>
      <c r="CR13" s="73" t="s">
        <v>8</v>
      </c>
      <c r="CS13" s="26" t="s">
        <v>8</v>
      </c>
      <c r="CT13" s="31">
        <f t="shared" si="158"/>
        <v>0.80622037748576802</v>
      </c>
      <c r="CU13" s="29">
        <f t="shared" si="159"/>
        <v>2.0898566842836752E-2</v>
      </c>
      <c r="CV13" s="50">
        <f t="shared" si="160"/>
        <v>436268.76117232343</v>
      </c>
      <c r="CW13" s="113">
        <f t="shared" si="161"/>
        <v>0</v>
      </c>
      <c r="CX13" s="73" t="s">
        <v>8</v>
      </c>
      <c r="CY13" s="26" t="s">
        <v>8</v>
      </c>
      <c r="CZ13" s="31">
        <f t="shared" si="162"/>
        <v>0.80622037748576802</v>
      </c>
      <c r="DA13" s="29">
        <f t="shared" si="163"/>
        <v>2.0898566842836752E-2</v>
      </c>
      <c r="DB13" s="50">
        <f t="shared" si="164"/>
        <v>436268.76117232343</v>
      </c>
      <c r="DC13" s="113">
        <f t="shared" si="165"/>
        <v>0</v>
      </c>
      <c r="DD13" s="73" t="s">
        <v>8</v>
      </c>
      <c r="DE13" s="26" t="s">
        <v>8</v>
      </c>
      <c r="DF13" s="31">
        <f t="shared" si="166"/>
        <v>0.80622037748576802</v>
      </c>
      <c r="DG13" s="29">
        <f t="shared" si="167"/>
        <v>2.0898566842836752E-2</v>
      </c>
      <c r="DH13" s="50">
        <f t="shared" si="168"/>
        <v>436268.76117232343</v>
      </c>
      <c r="DI13" s="113">
        <f t="shared" si="169"/>
        <v>0</v>
      </c>
      <c r="DJ13" s="73" t="s">
        <v>8</v>
      </c>
      <c r="DK13" s="26" t="s">
        <v>8</v>
      </c>
      <c r="DL13" s="31">
        <f t="shared" si="170"/>
        <v>0.80622037748576802</v>
      </c>
      <c r="DM13" s="29">
        <f t="shared" si="171"/>
        <v>2.0898566842836752E-2</v>
      </c>
      <c r="DN13" s="50">
        <f t="shared" si="172"/>
        <v>436268.76117232343</v>
      </c>
      <c r="DO13" s="113">
        <f t="shared" si="173"/>
        <v>0</v>
      </c>
      <c r="DP13" s="73" t="s">
        <v>8</v>
      </c>
      <c r="DQ13" s="26" t="s">
        <v>8</v>
      </c>
      <c r="DR13" s="31">
        <f t="shared" si="174"/>
        <v>0.80622037748576802</v>
      </c>
      <c r="DS13" s="29">
        <f t="shared" si="175"/>
        <v>2.0898566842836752E-2</v>
      </c>
      <c r="DT13" s="50">
        <f t="shared" si="176"/>
        <v>436268.76117232343</v>
      </c>
      <c r="DU13" s="113">
        <f t="shared" si="177"/>
        <v>0</v>
      </c>
      <c r="DV13" s="73" t="s">
        <v>8</v>
      </c>
      <c r="DW13" s="26" t="s">
        <v>8</v>
      </c>
      <c r="DX13" s="31">
        <f t="shared" si="178"/>
        <v>0.80622037748576802</v>
      </c>
      <c r="DY13" s="29">
        <f t="shared" si="179"/>
        <v>2.0898566842836752E-2</v>
      </c>
      <c r="DZ13" s="30">
        <f t="shared" si="180"/>
        <v>436268.76117232343</v>
      </c>
      <c r="EA13" s="77">
        <f t="shared" si="181"/>
        <v>0</v>
      </c>
      <c r="EB13" s="73" t="s">
        <v>8</v>
      </c>
      <c r="EC13" s="26" t="s">
        <v>8</v>
      </c>
      <c r="ED13" s="31">
        <f t="shared" si="182"/>
        <v>0.80622037748576802</v>
      </c>
      <c r="EE13" s="29">
        <f t="shared" si="183"/>
        <v>2.0898566842836752E-2</v>
      </c>
      <c r="EF13" s="30">
        <f t="shared" si="184"/>
        <v>436268.76117232343</v>
      </c>
      <c r="EG13" s="77">
        <f t="shared" si="185"/>
        <v>0</v>
      </c>
      <c r="EH13" s="73" t="s">
        <v>8</v>
      </c>
      <c r="EI13" s="26" t="s">
        <v>8</v>
      </c>
      <c r="EJ13" s="31">
        <f t="shared" si="186"/>
        <v>0.80622037748576802</v>
      </c>
      <c r="EK13" s="29">
        <f t="shared" si="187"/>
        <v>2.0898566842836752E-2</v>
      </c>
      <c r="EL13" s="30">
        <f t="shared" si="188"/>
        <v>436268.76117232343</v>
      </c>
      <c r="EM13" s="77">
        <f t="shared" si="189"/>
        <v>0</v>
      </c>
      <c r="EN13" s="73" t="s">
        <v>8</v>
      </c>
      <c r="EO13" s="26" t="s">
        <v>8</v>
      </c>
      <c r="EP13" s="31">
        <f t="shared" si="190"/>
        <v>0.80622037748576802</v>
      </c>
      <c r="EQ13" s="29">
        <f t="shared" si="191"/>
        <v>2.0898566842836752E-2</v>
      </c>
      <c r="ER13" s="30">
        <f t="shared" si="192"/>
        <v>436268.76117232343</v>
      </c>
      <c r="ES13" s="77">
        <f t="shared" si="193"/>
        <v>0</v>
      </c>
      <c r="ET13" s="73" t="s">
        <v>8</v>
      </c>
      <c r="EU13" s="26" t="s">
        <v>8</v>
      </c>
      <c r="EV13" s="31">
        <f t="shared" si="194"/>
        <v>0.80622037748576802</v>
      </c>
      <c r="EW13" s="29">
        <f t="shared" si="195"/>
        <v>2.0898566842836752E-2</v>
      </c>
      <c r="EX13" s="30">
        <f t="shared" si="196"/>
        <v>436268.76117232343</v>
      </c>
      <c r="EY13" s="77">
        <f t="shared" si="197"/>
        <v>0</v>
      </c>
      <c r="EZ13" s="73" t="s">
        <v>8</v>
      </c>
      <c r="FA13" s="26" t="s">
        <v>8</v>
      </c>
      <c r="FB13" s="31">
        <f t="shared" si="198"/>
        <v>0.80622037748576802</v>
      </c>
      <c r="FC13" s="29">
        <f t="shared" si="199"/>
        <v>2.0898566842836752E-2</v>
      </c>
      <c r="FD13" s="30">
        <f t="shared" si="200"/>
        <v>436268.76117232343</v>
      </c>
      <c r="FE13" s="77">
        <f t="shared" si="201"/>
        <v>0</v>
      </c>
      <c r="FF13" s="73" t="s">
        <v>8</v>
      </c>
      <c r="FG13" s="26" t="s">
        <v>8</v>
      </c>
      <c r="FH13" s="31">
        <f t="shared" si="202"/>
        <v>0.80622037748576802</v>
      </c>
      <c r="FI13" s="29">
        <f t="shared" si="203"/>
        <v>2.0898566842836752E-2</v>
      </c>
      <c r="FJ13" s="30">
        <f t="shared" si="204"/>
        <v>436268.76117232343</v>
      </c>
      <c r="FK13" s="77">
        <f t="shared" si="205"/>
        <v>0</v>
      </c>
      <c r="FL13" s="73" t="s">
        <v>8</v>
      </c>
      <c r="FM13" s="26" t="s">
        <v>8</v>
      </c>
      <c r="FN13" s="31">
        <f t="shared" si="206"/>
        <v>0.80622037748576802</v>
      </c>
      <c r="FO13" s="29">
        <f t="shared" si="207"/>
        <v>2.0898566842836752E-2</v>
      </c>
      <c r="FP13" s="30">
        <f t="shared" si="208"/>
        <v>436268.76117232343</v>
      </c>
      <c r="FQ13" s="77">
        <f t="shared" si="209"/>
        <v>0</v>
      </c>
      <c r="FR13" s="73" t="s">
        <v>8</v>
      </c>
      <c r="FS13" s="26" t="s">
        <v>8</v>
      </c>
      <c r="FT13" s="31">
        <f t="shared" si="210"/>
        <v>0.80622037748576802</v>
      </c>
      <c r="FU13" s="29">
        <f t="shared" si="211"/>
        <v>2.0898566842836752E-2</v>
      </c>
      <c r="FV13" s="30">
        <f t="shared" si="212"/>
        <v>436268.76117232343</v>
      </c>
      <c r="FW13" s="77">
        <f t="shared" si="213"/>
        <v>0</v>
      </c>
      <c r="FX13" s="73" t="s">
        <v>8</v>
      </c>
      <c r="FY13" s="26" t="s">
        <v>8</v>
      </c>
      <c r="FZ13" s="31">
        <f t="shared" si="214"/>
        <v>0.80622037748576802</v>
      </c>
      <c r="GA13" s="29">
        <f t="shared" si="215"/>
        <v>2.0898566842836752E-2</v>
      </c>
      <c r="GB13" s="30">
        <f t="shared" si="216"/>
        <v>436268.76117232343</v>
      </c>
      <c r="GC13" s="77">
        <f t="shared" si="217"/>
        <v>0</v>
      </c>
      <c r="GD13" s="73" t="s">
        <v>8</v>
      </c>
      <c r="GE13" s="26" t="s">
        <v>8</v>
      </c>
      <c r="GF13" s="31">
        <f t="shared" si="218"/>
        <v>0.80622037748576802</v>
      </c>
      <c r="GG13" s="29">
        <f t="shared" si="219"/>
        <v>2.0898566842836752E-2</v>
      </c>
      <c r="GH13" s="30">
        <f t="shared" si="220"/>
        <v>436268.76117232343</v>
      </c>
      <c r="GI13" s="113">
        <f t="shared" si="221"/>
        <v>0</v>
      </c>
      <c r="GJ13" s="147">
        <f t="shared" si="227"/>
        <v>3161209.9820587966</v>
      </c>
      <c r="GK13" s="88">
        <f t="shared" si="222"/>
        <v>5808623.5009538829</v>
      </c>
      <c r="GL13" s="168">
        <f>K13+GK13/($H$19/$G$19)/G13/I13</f>
        <v>0.80622037748576814</v>
      </c>
      <c r="GM13" s="88">
        <v>5876631.96</v>
      </c>
      <c r="GN13" s="173">
        <f>GK13-GM13</f>
        <v>-68008.45904611703</v>
      </c>
    </row>
    <row r="14" spans="1:196" s="21" customFormat="1" ht="18.75" x14ac:dyDescent="0.3">
      <c r="A14" s="176" t="s">
        <v>175</v>
      </c>
      <c r="B14" s="191" t="s">
        <v>8</v>
      </c>
      <c r="C14" s="137" t="s">
        <v>8</v>
      </c>
      <c r="D14" s="137" t="s">
        <v>8</v>
      </c>
      <c r="E14" s="137" t="s">
        <v>8</v>
      </c>
      <c r="F14" s="137" t="s">
        <v>8</v>
      </c>
      <c r="G14" s="94">
        <f>'Исходные данные'!C16</f>
        <v>1453</v>
      </c>
      <c r="H14" s="27">
        <f>'Исходные данные'!D16</f>
        <v>5032422</v>
      </c>
      <c r="I14" s="28">
        <f>'Расчет КРП'!E12</f>
        <v>2.0175965876155408</v>
      </c>
      <c r="J14" s="101" t="s">
        <v>8</v>
      </c>
      <c r="K14" s="105">
        <f t="shared" si="104"/>
        <v>1.0307870972188975</v>
      </c>
      <c r="L14" s="74">
        <f t="shared" si="223"/>
        <v>1019531.3657446489</v>
      </c>
      <c r="M14" s="70">
        <f>(((H14+L14)/G14)/$J$19)/I14</f>
        <v>1.2396169165423851</v>
      </c>
      <c r="N14" s="26" t="s">
        <v>8</v>
      </c>
      <c r="O14" s="29">
        <f>$N$19-M14</f>
        <v>-0.63105969661495864</v>
      </c>
      <c r="P14" s="30">
        <f t="shared" si="225"/>
        <v>0</v>
      </c>
      <c r="Q14" s="77">
        <f t="shared" si="226"/>
        <v>0</v>
      </c>
      <c r="R14" s="141" t="s">
        <v>8</v>
      </c>
      <c r="S14" s="26" t="s">
        <v>8</v>
      </c>
      <c r="T14" s="31">
        <f t="shared" si="106"/>
        <v>1.2396169165423851</v>
      </c>
      <c r="U14" s="29">
        <f t="shared" si="107"/>
        <v>-0.50472349208947376</v>
      </c>
      <c r="V14" s="50">
        <f t="shared" si="108"/>
        <v>0</v>
      </c>
      <c r="W14" s="77">
        <f t="shared" si="109"/>
        <v>0</v>
      </c>
      <c r="X14" s="73" t="s">
        <v>8</v>
      </c>
      <c r="Y14" s="26" t="s">
        <v>8</v>
      </c>
      <c r="Z14" s="31">
        <f t="shared" si="110"/>
        <v>1.2396169165423851</v>
      </c>
      <c r="AA14" s="29">
        <f t="shared" si="111"/>
        <v>-0.43401060464427577</v>
      </c>
      <c r="AB14" s="50">
        <f t="shared" si="112"/>
        <v>0</v>
      </c>
      <c r="AC14" s="77">
        <f t="shared" si="113"/>
        <v>0</v>
      </c>
      <c r="AD14" s="73" t="s">
        <v>8</v>
      </c>
      <c r="AE14" s="26" t="s">
        <v>8</v>
      </c>
      <c r="AF14" s="31">
        <f t="shared" si="114"/>
        <v>1.2396169165423851</v>
      </c>
      <c r="AG14" s="29">
        <f t="shared" si="115"/>
        <v>-0.41249797221378037</v>
      </c>
      <c r="AH14" s="50">
        <f t="shared" si="116"/>
        <v>0</v>
      </c>
      <c r="AI14" s="77">
        <f t="shared" si="117"/>
        <v>0</v>
      </c>
      <c r="AJ14" s="73" t="s">
        <v>8</v>
      </c>
      <c r="AK14" s="26" t="s">
        <v>8</v>
      </c>
      <c r="AL14" s="31">
        <f t="shared" si="118"/>
        <v>1.2396169165423851</v>
      </c>
      <c r="AM14" s="29">
        <f t="shared" si="119"/>
        <v>-0.41249797221378037</v>
      </c>
      <c r="AN14" s="50">
        <f t="shared" si="120"/>
        <v>0</v>
      </c>
      <c r="AO14" s="77">
        <f t="shared" si="121"/>
        <v>0</v>
      </c>
      <c r="AP14" s="73" t="s">
        <v>8</v>
      </c>
      <c r="AQ14" s="26" t="s">
        <v>8</v>
      </c>
      <c r="AR14" s="31">
        <f t="shared" si="122"/>
        <v>1.2396169165423851</v>
      </c>
      <c r="AS14" s="29">
        <f t="shared" si="123"/>
        <v>-0.41249797221378037</v>
      </c>
      <c r="AT14" s="50">
        <f t="shared" si="124"/>
        <v>0</v>
      </c>
      <c r="AU14" s="77">
        <f t="shared" si="125"/>
        <v>0</v>
      </c>
      <c r="AV14" s="73" t="s">
        <v>8</v>
      </c>
      <c r="AW14" s="26" t="s">
        <v>8</v>
      </c>
      <c r="AX14" s="31">
        <f t="shared" si="126"/>
        <v>1.2396169165423851</v>
      </c>
      <c r="AY14" s="29">
        <f t="shared" si="127"/>
        <v>-0.41249797221378037</v>
      </c>
      <c r="AZ14" s="50">
        <f t="shared" si="128"/>
        <v>0</v>
      </c>
      <c r="BA14" s="77">
        <f t="shared" si="129"/>
        <v>0</v>
      </c>
      <c r="BB14" s="73" t="s">
        <v>8</v>
      </c>
      <c r="BC14" s="26" t="s">
        <v>8</v>
      </c>
      <c r="BD14" s="31">
        <f t="shared" si="130"/>
        <v>1.2396169165423851</v>
      </c>
      <c r="BE14" s="29">
        <f t="shared" si="131"/>
        <v>-0.41249797221378037</v>
      </c>
      <c r="BF14" s="50">
        <f t="shared" si="132"/>
        <v>0</v>
      </c>
      <c r="BG14" s="77">
        <f t="shared" si="133"/>
        <v>0</v>
      </c>
      <c r="BH14" s="73" t="s">
        <v>8</v>
      </c>
      <c r="BI14" s="26" t="s">
        <v>8</v>
      </c>
      <c r="BJ14" s="31">
        <f t="shared" si="134"/>
        <v>1.2396169165423851</v>
      </c>
      <c r="BK14" s="29">
        <f t="shared" si="135"/>
        <v>-0.41249797221378037</v>
      </c>
      <c r="BL14" s="50">
        <f t="shared" si="136"/>
        <v>0</v>
      </c>
      <c r="BM14" s="77">
        <f t="shared" si="137"/>
        <v>0</v>
      </c>
      <c r="BN14" s="73" t="s">
        <v>8</v>
      </c>
      <c r="BO14" s="26" t="s">
        <v>8</v>
      </c>
      <c r="BP14" s="31">
        <f t="shared" si="138"/>
        <v>1.2396169165423851</v>
      </c>
      <c r="BQ14" s="29">
        <f t="shared" si="139"/>
        <v>-0.41249797221378037</v>
      </c>
      <c r="BR14" s="50">
        <f t="shared" si="140"/>
        <v>0</v>
      </c>
      <c r="BS14" s="113">
        <f t="shared" si="141"/>
        <v>0</v>
      </c>
      <c r="BT14" s="73" t="s">
        <v>8</v>
      </c>
      <c r="BU14" s="26" t="s">
        <v>8</v>
      </c>
      <c r="BV14" s="31">
        <f t="shared" si="142"/>
        <v>1.2396169165423851</v>
      </c>
      <c r="BW14" s="29">
        <f t="shared" si="143"/>
        <v>-0.41249797221378037</v>
      </c>
      <c r="BX14" s="50">
        <f t="shared" si="144"/>
        <v>0</v>
      </c>
      <c r="BY14" s="113">
        <f t="shared" si="145"/>
        <v>0</v>
      </c>
      <c r="BZ14" s="73" t="s">
        <v>8</v>
      </c>
      <c r="CA14" s="26" t="s">
        <v>8</v>
      </c>
      <c r="CB14" s="31">
        <f t="shared" si="146"/>
        <v>1.2396169165423851</v>
      </c>
      <c r="CC14" s="29">
        <f t="shared" si="147"/>
        <v>-0.41249797221378037</v>
      </c>
      <c r="CD14" s="50">
        <f t="shared" si="148"/>
        <v>0</v>
      </c>
      <c r="CE14" s="113">
        <f t="shared" si="149"/>
        <v>0</v>
      </c>
      <c r="CF14" s="73" t="s">
        <v>8</v>
      </c>
      <c r="CG14" s="26" t="s">
        <v>8</v>
      </c>
      <c r="CH14" s="31">
        <f t="shared" si="150"/>
        <v>1.2396169165423851</v>
      </c>
      <c r="CI14" s="29">
        <f t="shared" si="151"/>
        <v>-0.41249797221378037</v>
      </c>
      <c r="CJ14" s="50">
        <f t="shared" si="152"/>
        <v>0</v>
      </c>
      <c r="CK14" s="113">
        <f t="shared" si="153"/>
        <v>0</v>
      </c>
      <c r="CL14" s="73" t="s">
        <v>8</v>
      </c>
      <c r="CM14" s="26" t="s">
        <v>8</v>
      </c>
      <c r="CN14" s="31">
        <f t="shared" si="154"/>
        <v>1.2396169165423851</v>
      </c>
      <c r="CO14" s="29">
        <f t="shared" si="155"/>
        <v>-0.41249797221378037</v>
      </c>
      <c r="CP14" s="50">
        <f t="shared" si="156"/>
        <v>0</v>
      </c>
      <c r="CQ14" s="113">
        <f t="shared" si="157"/>
        <v>0</v>
      </c>
      <c r="CR14" s="73" t="s">
        <v>8</v>
      </c>
      <c r="CS14" s="26" t="s">
        <v>8</v>
      </c>
      <c r="CT14" s="31">
        <f t="shared" si="158"/>
        <v>1.2396169165423851</v>
      </c>
      <c r="CU14" s="29">
        <f t="shared" si="159"/>
        <v>-0.41249797221378037</v>
      </c>
      <c r="CV14" s="50">
        <f t="shared" si="160"/>
        <v>0</v>
      </c>
      <c r="CW14" s="113">
        <f t="shared" si="161"/>
        <v>0</v>
      </c>
      <c r="CX14" s="73" t="s">
        <v>8</v>
      </c>
      <c r="CY14" s="26" t="s">
        <v>8</v>
      </c>
      <c r="CZ14" s="31">
        <f t="shared" si="162"/>
        <v>1.2396169165423851</v>
      </c>
      <c r="DA14" s="29">
        <f t="shared" si="163"/>
        <v>-0.41249797221378037</v>
      </c>
      <c r="DB14" s="50">
        <f t="shared" si="164"/>
        <v>0</v>
      </c>
      <c r="DC14" s="113">
        <f t="shared" si="165"/>
        <v>0</v>
      </c>
      <c r="DD14" s="73" t="s">
        <v>8</v>
      </c>
      <c r="DE14" s="26" t="s">
        <v>8</v>
      </c>
      <c r="DF14" s="31">
        <f t="shared" si="166"/>
        <v>1.2396169165423851</v>
      </c>
      <c r="DG14" s="29">
        <f t="shared" si="167"/>
        <v>-0.41249797221378037</v>
      </c>
      <c r="DH14" s="50">
        <f t="shared" si="168"/>
        <v>0</v>
      </c>
      <c r="DI14" s="113">
        <f t="shared" si="169"/>
        <v>0</v>
      </c>
      <c r="DJ14" s="73" t="s">
        <v>8</v>
      </c>
      <c r="DK14" s="26" t="s">
        <v>8</v>
      </c>
      <c r="DL14" s="31">
        <f t="shared" si="170"/>
        <v>1.2396169165423851</v>
      </c>
      <c r="DM14" s="29">
        <f t="shared" si="171"/>
        <v>-0.41249797221378037</v>
      </c>
      <c r="DN14" s="50">
        <f t="shared" si="172"/>
        <v>0</v>
      </c>
      <c r="DO14" s="113">
        <f t="shared" si="173"/>
        <v>0</v>
      </c>
      <c r="DP14" s="73" t="s">
        <v>8</v>
      </c>
      <c r="DQ14" s="26" t="s">
        <v>8</v>
      </c>
      <c r="DR14" s="31">
        <f t="shared" si="174"/>
        <v>1.2396169165423851</v>
      </c>
      <c r="DS14" s="29">
        <f t="shared" si="175"/>
        <v>-0.41249797221378037</v>
      </c>
      <c r="DT14" s="50">
        <f t="shared" si="176"/>
        <v>0</v>
      </c>
      <c r="DU14" s="113">
        <f t="shared" si="177"/>
        <v>0</v>
      </c>
      <c r="DV14" s="73" t="s">
        <v>8</v>
      </c>
      <c r="DW14" s="26" t="s">
        <v>8</v>
      </c>
      <c r="DX14" s="31">
        <f t="shared" si="178"/>
        <v>1.2396169165423851</v>
      </c>
      <c r="DY14" s="29">
        <f t="shared" si="179"/>
        <v>-0.41249797221378037</v>
      </c>
      <c r="DZ14" s="30">
        <f t="shared" si="180"/>
        <v>0</v>
      </c>
      <c r="EA14" s="77">
        <f t="shared" si="181"/>
        <v>0</v>
      </c>
      <c r="EB14" s="73" t="s">
        <v>8</v>
      </c>
      <c r="EC14" s="26" t="s">
        <v>8</v>
      </c>
      <c r="ED14" s="31">
        <f t="shared" si="182"/>
        <v>1.2396169165423851</v>
      </c>
      <c r="EE14" s="29">
        <f t="shared" si="183"/>
        <v>-0.41249797221378037</v>
      </c>
      <c r="EF14" s="30">
        <f t="shared" si="184"/>
        <v>0</v>
      </c>
      <c r="EG14" s="77">
        <f t="shared" si="185"/>
        <v>0</v>
      </c>
      <c r="EH14" s="73" t="s">
        <v>8</v>
      </c>
      <c r="EI14" s="26" t="s">
        <v>8</v>
      </c>
      <c r="EJ14" s="31">
        <f t="shared" si="186"/>
        <v>1.2396169165423851</v>
      </c>
      <c r="EK14" s="29">
        <f t="shared" si="187"/>
        <v>-0.41249797221378037</v>
      </c>
      <c r="EL14" s="30">
        <f t="shared" si="188"/>
        <v>0</v>
      </c>
      <c r="EM14" s="77">
        <f t="shared" si="189"/>
        <v>0</v>
      </c>
      <c r="EN14" s="73" t="s">
        <v>8</v>
      </c>
      <c r="EO14" s="26" t="s">
        <v>8</v>
      </c>
      <c r="EP14" s="31">
        <f t="shared" si="190"/>
        <v>1.2396169165423851</v>
      </c>
      <c r="EQ14" s="29">
        <f t="shared" si="191"/>
        <v>-0.41249797221378037</v>
      </c>
      <c r="ER14" s="30">
        <f t="shared" si="192"/>
        <v>0</v>
      </c>
      <c r="ES14" s="77">
        <f t="shared" si="193"/>
        <v>0</v>
      </c>
      <c r="ET14" s="73" t="s">
        <v>8</v>
      </c>
      <c r="EU14" s="26" t="s">
        <v>8</v>
      </c>
      <c r="EV14" s="31">
        <f t="shared" si="194"/>
        <v>1.2396169165423851</v>
      </c>
      <c r="EW14" s="29">
        <f t="shared" si="195"/>
        <v>-0.41249797221378037</v>
      </c>
      <c r="EX14" s="30">
        <f t="shared" si="196"/>
        <v>0</v>
      </c>
      <c r="EY14" s="77">
        <f t="shared" si="197"/>
        <v>0</v>
      </c>
      <c r="EZ14" s="73" t="s">
        <v>8</v>
      </c>
      <c r="FA14" s="26" t="s">
        <v>8</v>
      </c>
      <c r="FB14" s="31">
        <f t="shared" si="198"/>
        <v>1.2396169165423851</v>
      </c>
      <c r="FC14" s="29">
        <f t="shared" si="199"/>
        <v>-0.41249797221378037</v>
      </c>
      <c r="FD14" s="30">
        <f t="shared" si="200"/>
        <v>0</v>
      </c>
      <c r="FE14" s="77">
        <f t="shared" si="201"/>
        <v>0</v>
      </c>
      <c r="FF14" s="73" t="s">
        <v>8</v>
      </c>
      <c r="FG14" s="26" t="s">
        <v>8</v>
      </c>
      <c r="FH14" s="31">
        <f t="shared" si="202"/>
        <v>1.2396169165423851</v>
      </c>
      <c r="FI14" s="29">
        <f t="shared" si="203"/>
        <v>-0.41249797221378037</v>
      </c>
      <c r="FJ14" s="30">
        <f t="shared" si="204"/>
        <v>0</v>
      </c>
      <c r="FK14" s="77">
        <f t="shared" si="205"/>
        <v>0</v>
      </c>
      <c r="FL14" s="73" t="s">
        <v>8</v>
      </c>
      <c r="FM14" s="26" t="s">
        <v>8</v>
      </c>
      <c r="FN14" s="31">
        <f t="shared" si="206"/>
        <v>1.2396169165423851</v>
      </c>
      <c r="FO14" s="29">
        <f t="shared" si="207"/>
        <v>-0.41249797221378037</v>
      </c>
      <c r="FP14" s="30">
        <f t="shared" si="208"/>
        <v>0</v>
      </c>
      <c r="FQ14" s="77">
        <f t="shared" si="209"/>
        <v>0</v>
      </c>
      <c r="FR14" s="73" t="s">
        <v>8</v>
      </c>
      <c r="FS14" s="26" t="s">
        <v>8</v>
      </c>
      <c r="FT14" s="31">
        <f t="shared" si="210"/>
        <v>1.2396169165423851</v>
      </c>
      <c r="FU14" s="29">
        <f t="shared" si="211"/>
        <v>-0.41249797221378037</v>
      </c>
      <c r="FV14" s="30">
        <f t="shared" si="212"/>
        <v>0</v>
      </c>
      <c r="FW14" s="77">
        <f t="shared" si="213"/>
        <v>0</v>
      </c>
      <c r="FX14" s="73" t="s">
        <v>8</v>
      </c>
      <c r="FY14" s="26" t="s">
        <v>8</v>
      </c>
      <c r="FZ14" s="31">
        <f t="shared" si="214"/>
        <v>1.2396169165423851</v>
      </c>
      <c r="GA14" s="29">
        <f t="shared" si="215"/>
        <v>-0.41249797221378037</v>
      </c>
      <c r="GB14" s="30">
        <f t="shared" si="216"/>
        <v>0</v>
      </c>
      <c r="GC14" s="77">
        <f t="shared" si="217"/>
        <v>0</v>
      </c>
      <c r="GD14" s="73" t="s">
        <v>8</v>
      </c>
      <c r="GE14" s="26" t="s">
        <v>8</v>
      </c>
      <c r="GF14" s="31">
        <f t="shared" si="218"/>
        <v>1.2396169165423851</v>
      </c>
      <c r="GG14" s="29">
        <f t="shared" si="219"/>
        <v>-0.41249797221378037</v>
      </c>
      <c r="GH14" s="30">
        <f t="shared" si="220"/>
        <v>0</v>
      </c>
      <c r="GI14" s="113">
        <f t="shared" si="221"/>
        <v>0</v>
      </c>
      <c r="GJ14" s="147">
        <f t="shared" si="227"/>
        <v>0</v>
      </c>
      <c r="GK14" s="88">
        <f t="shared" si="222"/>
        <v>1019531.3657446489</v>
      </c>
      <c r="GL14" s="168">
        <f>K14+GK14/($H$19/$G$19)/G14/I14</f>
        <v>1.2396169165423851</v>
      </c>
      <c r="GM14" s="88">
        <v>1911470.72</v>
      </c>
      <c r="GN14" s="173">
        <f>GK14-GM14</f>
        <v>-891939.35425535112</v>
      </c>
    </row>
    <row r="15" spans="1:196" s="21" customFormat="1" ht="18.75" x14ac:dyDescent="0.3">
      <c r="A15" s="176" t="s">
        <v>176</v>
      </c>
      <c r="B15" s="191" t="s">
        <v>8</v>
      </c>
      <c r="C15" s="137" t="s">
        <v>8</v>
      </c>
      <c r="D15" s="137" t="s">
        <v>8</v>
      </c>
      <c r="E15" s="137" t="s">
        <v>8</v>
      </c>
      <c r="F15" s="137" t="s">
        <v>8</v>
      </c>
      <c r="G15" s="94">
        <f>'Исходные данные'!C17</f>
        <v>808</v>
      </c>
      <c r="H15" s="27">
        <f>'Исходные данные'!D17</f>
        <v>354963</v>
      </c>
      <c r="I15" s="28">
        <f>'Расчет КРП'!E13</f>
        <v>3</v>
      </c>
      <c r="J15" s="101" t="s">
        <v>8</v>
      </c>
      <c r="K15" s="105">
        <f t="shared" si="104"/>
        <v>8.7931066589549856E-2</v>
      </c>
      <c r="L15" s="74">
        <f t="shared" si="223"/>
        <v>566952.06023515225</v>
      </c>
      <c r="M15" s="70">
        <f t="shared" si="224"/>
        <v>0.22837584354269605</v>
      </c>
      <c r="N15" s="26" t="s">
        <v>8</v>
      </c>
      <c r="O15" s="29">
        <f t="shared" si="105"/>
        <v>0.38018137638473049</v>
      </c>
      <c r="P15" s="30">
        <f t="shared" si="225"/>
        <v>2181362.4345122278</v>
      </c>
      <c r="Q15" s="77">
        <f t="shared" si="226"/>
        <v>2181362.4345122278</v>
      </c>
      <c r="R15" s="141" t="s">
        <v>8</v>
      </c>
      <c r="S15" s="26" t="s">
        <v>8</v>
      </c>
      <c r="T15" s="31">
        <f t="shared" si="106"/>
        <v>0.76874068575170729</v>
      </c>
      <c r="U15" s="29">
        <f t="shared" si="107"/>
        <v>-3.3847261298795894E-2</v>
      </c>
      <c r="V15" s="50">
        <f t="shared" si="108"/>
        <v>0</v>
      </c>
      <c r="W15" s="77">
        <f t="shared" si="109"/>
        <v>0</v>
      </c>
      <c r="X15" s="73" t="s">
        <v>8</v>
      </c>
      <c r="Y15" s="26" t="s">
        <v>8</v>
      </c>
      <c r="Z15" s="31">
        <f t="shared" si="110"/>
        <v>0.76874068575170729</v>
      </c>
      <c r="AA15" s="29">
        <f t="shared" si="111"/>
        <v>3.6865626146402097E-2</v>
      </c>
      <c r="AB15" s="50">
        <f t="shared" si="112"/>
        <v>248789.41552001503</v>
      </c>
      <c r="AC15" s="77">
        <f t="shared" si="113"/>
        <v>155518.03081263418</v>
      </c>
      <c r="AD15" s="73" t="s">
        <v>8</v>
      </c>
      <c r="AE15" s="26" t="s">
        <v>8</v>
      </c>
      <c r="AF15" s="31">
        <f t="shared" si="114"/>
        <v>0.807265451215323</v>
      </c>
      <c r="AG15" s="29">
        <f t="shared" si="115"/>
        <v>1.9853493113281773E-2</v>
      </c>
      <c r="AH15" s="50">
        <f t="shared" si="116"/>
        <v>136425.1232074514</v>
      </c>
      <c r="AI15" s="77">
        <f t="shared" si="117"/>
        <v>0</v>
      </c>
      <c r="AJ15" s="73" t="s">
        <v>8</v>
      </c>
      <c r="AK15" s="26" t="s">
        <v>8</v>
      </c>
      <c r="AL15" s="31">
        <f t="shared" si="118"/>
        <v>0.807265451215323</v>
      </c>
      <c r="AM15" s="29">
        <f t="shared" si="119"/>
        <v>1.9853493113281773E-2</v>
      </c>
      <c r="AN15" s="50">
        <f t="shared" si="120"/>
        <v>136425.1232074514</v>
      </c>
      <c r="AO15" s="77">
        <f t="shared" si="121"/>
        <v>0</v>
      </c>
      <c r="AP15" s="73" t="s">
        <v>8</v>
      </c>
      <c r="AQ15" s="26" t="s">
        <v>8</v>
      </c>
      <c r="AR15" s="31">
        <f t="shared" si="122"/>
        <v>0.807265451215323</v>
      </c>
      <c r="AS15" s="29">
        <f t="shared" si="123"/>
        <v>1.9853493113281773E-2</v>
      </c>
      <c r="AT15" s="50">
        <f t="shared" si="124"/>
        <v>136425.1232074514</v>
      </c>
      <c r="AU15" s="77">
        <f t="shared" si="125"/>
        <v>0</v>
      </c>
      <c r="AV15" s="73" t="s">
        <v>8</v>
      </c>
      <c r="AW15" s="26" t="s">
        <v>8</v>
      </c>
      <c r="AX15" s="31">
        <f t="shared" si="126"/>
        <v>0.807265451215323</v>
      </c>
      <c r="AY15" s="29">
        <f t="shared" si="127"/>
        <v>1.9853493113281773E-2</v>
      </c>
      <c r="AZ15" s="50">
        <f t="shared" si="128"/>
        <v>136425.1232074514</v>
      </c>
      <c r="BA15" s="77">
        <f t="shared" si="129"/>
        <v>0</v>
      </c>
      <c r="BB15" s="73" t="s">
        <v>8</v>
      </c>
      <c r="BC15" s="26" t="s">
        <v>8</v>
      </c>
      <c r="BD15" s="31">
        <f t="shared" si="130"/>
        <v>0.807265451215323</v>
      </c>
      <c r="BE15" s="29">
        <f t="shared" si="131"/>
        <v>1.9853493113281773E-2</v>
      </c>
      <c r="BF15" s="50">
        <f t="shared" si="132"/>
        <v>136425.1232074514</v>
      </c>
      <c r="BG15" s="77">
        <f t="shared" si="133"/>
        <v>0</v>
      </c>
      <c r="BH15" s="73" t="s">
        <v>8</v>
      </c>
      <c r="BI15" s="26" t="s">
        <v>8</v>
      </c>
      <c r="BJ15" s="31">
        <f t="shared" si="134"/>
        <v>0.807265451215323</v>
      </c>
      <c r="BK15" s="29">
        <f t="shared" si="135"/>
        <v>1.9853493113281773E-2</v>
      </c>
      <c r="BL15" s="50">
        <f t="shared" si="136"/>
        <v>136425.1232074514</v>
      </c>
      <c r="BM15" s="77">
        <f t="shared" si="137"/>
        <v>0</v>
      </c>
      <c r="BN15" s="73" t="s">
        <v>8</v>
      </c>
      <c r="BO15" s="26" t="s">
        <v>8</v>
      </c>
      <c r="BP15" s="31">
        <f t="shared" si="138"/>
        <v>0.807265451215323</v>
      </c>
      <c r="BQ15" s="29">
        <f t="shared" si="139"/>
        <v>1.9853493113281773E-2</v>
      </c>
      <c r="BR15" s="50">
        <f t="shared" si="140"/>
        <v>136425.1232074514</v>
      </c>
      <c r="BS15" s="113">
        <f t="shared" si="141"/>
        <v>0</v>
      </c>
      <c r="BT15" s="73" t="s">
        <v>8</v>
      </c>
      <c r="BU15" s="26" t="s">
        <v>8</v>
      </c>
      <c r="BV15" s="31">
        <f t="shared" si="142"/>
        <v>0.807265451215323</v>
      </c>
      <c r="BW15" s="29">
        <f t="shared" si="143"/>
        <v>1.9853493113281773E-2</v>
      </c>
      <c r="BX15" s="50">
        <f t="shared" si="144"/>
        <v>136425.1232074514</v>
      </c>
      <c r="BY15" s="113">
        <f t="shared" si="145"/>
        <v>0</v>
      </c>
      <c r="BZ15" s="73" t="s">
        <v>8</v>
      </c>
      <c r="CA15" s="26" t="s">
        <v>8</v>
      </c>
      <c r="CB15" s="31">
        <f t="shared" si="146"/>
        <v>0.807265451215323</v>
      </c>
      <c r="CC15" s="29">
        <f t="shared" si="147"/>
        <v>1.9853493113281773E-2</v>
      </c>
      <c r="CD15" s="50">
        <f t="shared" si="148"/>
        <v>136425.1232074514</v>
      </c>
      <c r="CE15" s="113">
        <f t="shared" si="149"/>
        <v>0</v>
      </c>
      <c r="CF15" s="73" t="s">
        <v>8</v>
      </c>
      <c r="CG15" s="26" t="s">
        <v>8</v>
      </c>
      <c r="CH15" s="31">
        <f t="shared" si="150"/>
        <v>0.807265451215323</v>
      </c>
      <c r="CI15" s="29">
        <f t="shared" si="151"/>
        <v>1.9853493113281773E-2</v>
      </c>
      <c r="CJ15" s="50">
        <f t="shared" si="152"/>
        <v>136425.1232074514</v>
      </c>
      <c r="CK15" s="113">
        <f t="shared" si="153"/>
        <v>0</v>
      </c>
      <c r="CL15" s="73" t="s">
        <v>8</v>
      </c>
      <c r="CM15" s="26" t="s">
        <v>8</v>
      </c>
      <c r="CN15" s="31">
        <f t="shared" si="154"/>
        <v>0.807265451215323</v>
      </c>
      <c r="CO15" s="29">
        <f t="shared" si="155"/>
        <v>1.9853493113281773E-2</v>
      </c>
      <c r="CP15" s="50">
        <f t="shared" si="156"/>
        <v>136425.1232074514</v>
      </c>
      <c r="CQ15" s="113">
        <f t="shared" si="157"/>
        <v>0</v>
      </c>
      <c r="CR15" s="73" t="s">
        <v>8</v>
      </c>
      <c r="CS15" s="26" t="s">
        <v>8</v>
      </c>
      <c r="CT15" s="31">
        <f t="shared" si="158"/>
        <v>0.807265451215323</v>
      </c>
      <c r="CU15" s="29">
        <f t="shared" si="159"/>
        <v>1.9853493113281773E-2</v>
      </c>
      <c r="CV15" s="50">
        <f t="shared" si="160"/>
        <v>136425.1232074514</v>
      </c>
      <c r="CW15" s="113">
        <f t="shared" si="161"/>
        <v>0</v>
      </c>
      <c r="CX15" s="73" t="s">
        <v>8</v>
      </c>
      <c r="CY15" s="26" t="s">
        <v>8</v>
      </c>
      <c r="CZ15" s="31">
        <f t="shared" si="162"/>
        <v>0.807265451215323</v>
      </c>
      <c r="DA15" s="29">
        <f t="shared" si="163"/>
        <v>1.9853493113281773E-2</v>
      </c>
      <c r="DB15" s="50">
        <f t="shared" si="164"/>
        <v>136425.1232074514</v>
      </c>
      <c r="DC15" s="113">
        <f t="shared" si="165"/>
        <v>0</v>
      </c>
      <c r="DD15" s="73" t="s">
        <v>8</v>
      </c>
      <c r="DE15" s="26" t="s">
        <v>8</v>
      </c>
      <c r="DF15" s="31">
        <f t="shared" si="166"/>
        <v>0.807265451215323</v>
      </c>
      <c r="DG15" s="29">
        <f t="shared" si="167"/>
        <v>1.9853493113281773E-2</v>
      </c>
      <c r="DH15" s="50">
        <f t="shared" si="168"/>
        <v>136425.1232074514</v>
      </c>
      <c r="DI15" s="113">
        <f t="shared" si="169"/>
        <v>0</v>
      </c>
      <c r="DJ15" s="73" t="s">
        <v>8</v>
      </c>
      <c r="DK15" s="26" t="s">
        <v>8</v>
      </c>
      <c r="DL15" s="31">
        <f t="shared" si="170"/>
        <v>0.807265451215323</v>
      </c>
      <c r="DM15" s="29">
        <f t="shared" si="171"/>
        <v>1.9853493113281773E-2</v>
      </c>
      <c r="DN15" s="50">
        <f t="shared" si="172"/>
        <v>136425.1232074514</v>
      </c>
      <c r="DO15" s="113">
        <f t="shared" si="173"/>
        <v>0</v>
      </c>
      <c r="DP15" s="73" t="s">
        <v>8</v>
      </c>
      <c r="DQ15" s="26" t="s">
        <v>8</v>
      </c>
      <c r="DR15" s="31">
        <f t="shared" si="174"/>
        <v>0.807265451215323</v>
      </c>
      <c r="DS15" s="29">
        <f t="shared" si="175"/>
        <v>1.9853493113281773E-2</v>
      </c>
      <c r="DT15" s="50">
        <f t="shared" si="176"/>
        <v>136425.1232074514</v>
      </c>
      <c r="DU15" s="113">
        <f t="shared" si="177"/>
        <v>0</v>
      </c>
      <c r="DV15" s="73" t="s">
        <v>8</v>
      </c>
      <c r="DW15" s="26" t="s">
        <v>8</v>
      </c>
      <c r="DX15" s="31">
        <f t="shared" si="178"/>
        <v>0.807265451215323</v>
      </c>
      <c r="DY15" s="29">
        <f t="shared" si="179"/>
        <v>1.9853493113281773E-2</v>
      </c>
      <c r="DZ15" s="30">
        <f t="shared" si="180"/>
        <v>136425.1232074514</v>
      </c>
      <c r="EA15" s="77">
        <f t="shared" si="181"/>
        <v>0</v>
      </c>
      <c r="EB15" s="73" t="s">
        <v>8</v>
      </c>
      <c r="EC15" s="26" t="s">
        <v>8</v>
      </c>
      <c r="ED15" s="31">
        <f t="shared" si="182"/>
        <v>0.807265451215323</v>
      </c>
      <c r="EE15" s="29">
        <f t="shared" si="183"/>
        <v>1.9853493113281773E-2</v>
      </c>
      <c r="EF15" s="30">
        <f t="shared" si="184"/>
        <v>136425.1232074514</v>
      </c>
      <c r="EG15" s="77">
        <f t="shared" si="185"/>
        <v>0</v>
      </c>
      <c r="EH15" s="73" t="s">
        <v>8</v>
      </c>
      <c r="EI15" s="26" t="s">
        <v>8</v>
      </c>
      <c r="EJ15" s="31">
        <f t="shared" si="186"/>
        <v>0.807265451215323</v>
      </c>
      <c r="EK15" s="29">
        <f t="shared" si="187"/>
        <v>1.9853493113281773E-2</v>
      </c>
      <c r="EL15" s="30">
        <f t="shared" si="188"/>
        <v>136425.1232074514</v>
      </c>
      <c r="EM15" s="77">
        <f t="shared" si="189"/>
        <v>0</v>
      </c>
      <c r="EN15" s="73" t="s">
        <v>8</v>
      </c>
      <c r="EO15" s="26" t="s">
        <v>8</v>
      </c>
      <c r="EP15" s="31">
        <f t="shared" si="190"/>
        <v>0.807265451215323</v>
      </c>
      <c r="EQ15" s="29">
        <f t="shared" si="191"/>
        <v>1.9853493113281773E-2</v>
      </c>
      <c r="ER15" s="30">
        <f t="shared" si="192"/>
        <v>136425.1232074514</v>
      </c>
      <c r="ES15" s="77">
        <f t="shared" si="193"/>
        <v>0</v>
      </c>
      <c r="ET15" s="73" t="s">
        <v>8</v>
      </c>
      <c r="EU15" s="26" t="s">
        <v>8</v>
      </c>
      <c r="EV15" s="31">
        <f t="shared" si="194"/>
        <v>0.807265451215323</v>
      </c>
      <c r="EW15" s="29">
        <f t="shared" si="195"/>
        <v>1.9853493113281773E-2</v>
      </c>
      <c r="EX15" s="30">
        <f t="shared" si="196"/>
        <v>136425.1232074514</v>
      </c>
      <c r="EY15" s="77">
        <f t="shared" si="197"/>
        <v>0</v>
      </c>
      <c r="EZ15" s="73" t="s">
        <v>8</v>
      </c>
      <c r="FA15" s="26" t="s">
        <v>8</v>
      </c>
      <c r="FB15" s="31">
        <f t="shared" si="198"/>
        <v>0.807265451215323</v>
      </c>
      <c r="FC15" s="29">
        <f t="shared" si="199"/>
        <v>1.9853493113281773E-2</v>
      </c>
      <c r="FD15" s="30">
        <f t="shared" si="200"/>
        <v>136425.1232074514</v>
      </c>
      <c r="FE15" s="77">
        <f t="shared" si="201"/>
        <v>0</v>
      </c>
      <c r="FF15" s="73" t="s">
        <v>8</v>
      </c>
      <c r="FG15" s="26" t="s">
        <v>8</v>
      </c>
      <c r="FH15" s="31">
        <f t="shared" si="202"/>
        <v>0.807265451215323</v>
      </c>
      <c r="FI15" s="29">
        <f t="shared" si="203"/>
        <v>1.9853493113281773E-2</v>
      </c>
      <c r="FJ15" s="30">
        <f t="shared" si="204"/>
        <v>136425.1232074514</v>
      </c>
      <c r="FK15" s="77">
        <f t="shared" si="205"/>
        <v>0</v>
      </c>
      <c r="FL15" s="73" t="s">
        <v>8</v>
      </c>
      <c r="FM15" s="26" t="s">
        <v>8</v>
      </c>
      <c r="FN15" s="31">
        <f t="shared" si="206"/>
        <v>0.807265451215323</v>
      </c>
      <c r="FO15" s="29">
        <f t="shared" si="207"/>
        <v>1.9853493113281773E-2</v>
      </c>
      <c r="FP15" s="30">
        <f t="shared" si="208"/>
        <v>136425.1232074514</v>
      </c>
      <c r="FQ15" s="77">
        <f t="shared" si="209"/>
        <v>0</v>
      </c>
      <c r="FR15" s="73" t="s">
        <v>8</v>
      </c>
      <c r="FS15" s="26" t="s">
        <v>8</v>
      </c>
      <c r="FT15" s="31">
        <f t="shared" si="210"/>
        <v>0.807265451215323</v>
      </c>
      <c r="FU15" s="29">
        <f t="shared" si="211"/>
        <v>1.9853493113281773E-2</v>
      </c>
      <c r="FV15" s="30">
        <f t="shared" si="212"/>
        <v>136425.1232074514</v>
      </c>
      <c r="FW15" s="77">
        <f t="shared" si="213"/>
        <v>0</v>
      </c>
      <c r="FX15" s="73" t="s">
        <v>8</v>
      </c>
      <c r="FY15" s="26" t="s">
        <v>8</v>
      </c>
      <c r="FZ15" s="31">
        <f t="shared" si="214"/>
        <v>0.807265451215323</v>
      </c>
      <c r="GA15" s="29">
        <f t="shared" si="215"/>
        <v>1.9853493113281773E-2</v>
      </c>
      <c r="GB15" s="30">
        <f t="shared" si="216"/>
        <v>136425.1232074514</v>
      </c>
      <c r="GC15" s="77">
        <f t="shared" si="217"/>
        <v>0</v>
      </c>
      <c r="GD15" s="73" t="s">
        <v>8</v>
      </c>
      <c r="GE15" s="26" t="s">
        <v>8</v>
      </c>
      <c r="GF15" s="31">
        <f t="shared" si="218"/>
        <v>0.807265451215323</v>
      </c>
      <c r="GG15" s="29">
        <f t="shared" si="219"/>
        <v>1.9853493113281773E-2</v>
      </c>
      <c r="GH15" s="30">
        <f t="shared" si="220"/>
        <v>136425.1232074514</v>
      </c>
      <c r="GI15" s="113">
        <f t="shared" si="221"/>
        <v>0</v>
      </c>
      <c r="GJ15" s="147">
        <f t="shared" si="227"/>
        <v>2336880.4653248619</v>
      </c>
      <c r="GK15" s="88">
        <f>L15+GJ15-0.01</f>
        <v>2903832.5155600142</v>
      </c>
      <c r="GL15" s="168">
        <f>K15+GK15/($H$19/$G$19)/G15/I15</f>
        <v>0.80726544873813333</v>
      </c>
      <c r="GM15" s="88">
        <v>1732102.67</v>
      </c>
      <c r="GN15" s="173">
        <f>GK15-GM15</f>
        <v>1171729.8455600142</v>
      </c>
    </row>
    <row r="16" spans="1:196" s="21" customFormat="1" ht="18.75" x14ac:dyDescent="0.3">
      <c r="A16" s="176" t="s">
        <v>177</v>
      </c>
      <c r="B16" s="191" t="s">
        <v>8</v>
      </c>
      <c r="C16" s="137" t="s">
        <v>8</v>
      </c>
      <c r="D16" s="137" t="s">
        <v>8</v>
      </c>
      <c r="E16" s="137" t="s">
        <v>8</v>
      </c>
      <c r="F16" s="137" t="s">
        <v>8</v>
      </c>
      <c r="G16" s="94">
        <f>'Исходные данные'!C18</f>
        <v>946</v>
      </c>
      <c r="H16" s="27">
        <f>'Исходные данные'!D18</f>
        <v>1305511</v>
      </c>
      <c r="I16" s="28">
        <f>'Расчет КРП'!E14</f>
        <v>2.0441455794892747</v>
      </c>
      <c r="J16" s="101" t="s">
        <v>8</v>
      </c>
      <c r="K16" s="105">
        <f t="shared" si="104"/>
        <v>0.40538665448278577</v>
      </c>
      <c r="L16" s="74">
        <f t="shared" si="223"/>
        <v>663782.98141392821</v>
      </c>
      <c r="M16" s="70">
        <f t="shared" si="224"/>
        <v>0.61150423000532173</v>
      </c>
      <c r="N16" s="26" t="s">
        <v>8</v>
      </c>
      <c r="O16" s="29">
        <f t="shared" si="105"/>
        <v>-2.947010077895218E-3</v>
      </c>
      <c r="P16" s="30">
        <f t="shared" si="225"/>
        <v>0</v>
      </c>
      <c r="Q16" s="77">
        <f t="shared" si="226"/>
        <v>0</v>
      </c>
      <c r="R16" s="141" t="s">
        <v>8</v>
      </c>
      <c r="S16" s="26" t="s">
        <v>8</v>
      </c>
      <c r="T16" s="31">
        <f t="shared" si="106"/>
        <v>0.61150423000532173</v>
      </c>
      <c r="U16" s="29">
        <f t="shared" si="107"/>
        <v>0.12338919444758967</v>
      </c>
      <c r="V16" s="50">
        <f t="shared" si="108"/>
        <v>621863.34981797356</v>
      </c>
      <c r="W16" s="77">
        <f t="shared" si="109"/>
        <v>621863.34981797356</v>
      </c>
      <c r="X16" s="73" t="s">
        <v>8</v>
      </c>
      <c r="Y16" s="26" t="s">
        <v>8</v>
      </c>
      <c r="Z16" s="31">
        <f t="shared" si="110"/>
        <v>0.80460494147245354</v>
      </c>
      <c r="AA16" s="29">
        <f t="shared" si="111"/>
        <v>1.0013704256558453E-3</v>
      </c>
      <c r="AB16" s="50">
        <f t="shared" si="112"/>
        <v>5391.0751899509032</v>
      </c>
      <c r="AC16" s="77">
        <f t="shared" si="113"/>
        <v>3369.9560560146201</v>
      </c>
      <c r="AD16" s="73" t="s">
        <v>8</v>
      </c>
      <c r="AE16" s="26" t="s">
        <v>8</v>
      </c>
      <c r="AF16" s="31">
        <f t="shared" si="114"/>
        <v>0.80565137862334824</v>
      </c>
      <c r="AG16" s="29">
        <f t="shared" si="115"/>
        <v>2.1467565705256542E-2</v>
      </c>
      <c r="AH16" s="50">
        <f t="shared" si="116"/>
        <v>117682.14315083419</v>
      </c>
      <c r="AI16" s="77">
        <f t="shared" si="117"/>
        <v>0</v>
      </c>
      <c r="AJ16" s="73" t="s">
        <v>8</v>
      </c>
      <c r="AK16" s="26" t="s">
        <v>8</v>
      </c>
      <c r="AL16" s="31">
        <f t="shared" si="118"/>
        <v>0.80565137862334824</v>
      </c>
      <c r="AM16" s="29">
        <f t="shared" si="119"/>
        <v>2.1467565705256542E-2</v>
      </c>
      <c r="AN16" s="50">
        <f t="shared" si="120"/>
        <v>117682.14315083419</v>
      </c>
      <c r="AO16" s="77">
        <f t="shared" si="121"/>
        <v>0</v>
      </c>
      <c r="AP16" s="73" t="s">
        <v>8</v>
      </c>
      <c r="AQ16" s="26" t="s">
        <v>8</v>
      </c>
      <c r="AR16" s="31">
        <f t="shared" si="122"/>
        <v>0.80565137862334824</v>
      </c>
      <c r="AS16" s="29">
        <f t="shared" si="123"/>
        <v>2.1467565705256542E-2</v>
      </c>
      <c r="AT16" s="50">
        <f t="shared" si="124"/>
        <v>117682.14315083419</v>
      </c>
      <c r="AU16" s="77">
        <f t="shared" si="125"/>
        <v>0</v>
      </c>
      <c r="AV16" s="73" t="s">
        <v>8</v>
      </c>
      <c r="AW16" s="26" t="s">
        <v>8</v>
      </c>
      <c r="AX16" s="31">
        <f t="shared" si="126"/>
        <v>0.80565137862334824</v>
      </c>
      <c r="AY16" s="29">
        <f t="shared" si="127"/>
        <v>2.1467565705256542E-2</v>
      </c>
      <c r="AZ16" s="50">
        <f t="shared" si="128"/>
        <v>117682.14315083419</v>
      </c>
      <c r="BA16" s="77">
        <f t="shared" si="129"/>
        <v>0</v>
      </c>
      <c r="BB16" s="73" t="s">
        <v>8</v>
      </c>
      <c r="BC16" s="26" t="s">
        <v>8</v>
      </c>
      <c r="BD16" s="31">
        <f t="shared" si="130"/>
        <v>0.80565137862334824</v>
      </c>
      <c r="BE16" s="29">
        <f t="shared" si="131"/>
        <v>2.1467565705256542E-2</v>
      </c>
      <c r="BF16" s="50">
        <f t="shared" si="132"/>
        <v>117682.14315083419</v>
      </c>
      <c r="BG16" s="77">
        <f t="shared" si="133"/>
        <v>0</v>
      </c>
      <c r="BH16" s="73" t="s">
        <v>8</v>
      </c>
      <c r="BI16" s="26" t="s">
        <v>8</v>
      </c>
      <c r="BJ16" s="31">
        <f t="shared" si="134"/>
        <v>0.80565137862334824</v>
      </c>
      <c r="BK16" s="29">
        <f t="shared" si="135"/>
        <v>2.1467565705256542E-2</v>
      </c>
      <c r="BL16" s="50">
        <f t="shared" si="136"/>
        <v>117682.14315083419</v>
      </c>
      <c r="BM16" s="77">
        <f t="shared" si="137"/>
        <v>0</v>
      </c>
      <c r="BN16" s="73" t="s">
        <v>8</v>
      </c>
      <c r="BO16" s="26" t="s">
        <v>8</v>
      </c>
      <c r="BP16" s="31">
        <f t="shared" si="138"/>
        <v>0.80565137862334824</v>
      </c>
      <c r="BQ16" s="29">
        <f t="shared" si="139"/>
        <v>2.1467565705256542E-2</v>
      </c>
      <c r="BR16" s="50">
        <f t="shared" si="140"/>
        <v>117682.14315083419</v>
      </c>
      <c r="BS16" s="113">
        <f t="shared" si="141"/>
        <v>0</v>
      </c>
      <c r="BT16" s="73" t="s">
        <v>8</v>
      </c>
      <c r="BU16" s="26" t="s">
        <v>8</v>
      </c>
      <c r="BV16" s="31">
        <f t="shared" si="142"/>
        <v>0.80565137862334824</v>
      </c>
      <c r="BW16" s="29">
        <f t="shared" si="143"/>
        <v>2.1467565705256542E-2</v>
      </c>
      <c r="BX16" s="50">
        <f t="shared" si="144"/>
        <v>117682.14315083419</v>
      </c>
      <c r="BY16" s="113">
        <f t="shared" si="145"/>
        <v>0</v>
      </c>
      <c r="BZ16" s="73" t="s">
        <v>8</v>
      </c>
      <c r="CA16" s="26" t="s">
        <v>8</v>
      </c>
      <c r="CB16" s="31">
        <f t="shared" si="146"/>
        <v>0.80565137862334824</v>
      </c>
      <c r="CC16" s="29">
        <f t="shared" si="147"/>
        <v>2.1467565705256542E-2</v>
      </c>
      <c r="CD16" s="50">
        <f t="shared" si="148"/>
        <v>117682.14315083419</v>
      </c>
      <c r="CE16" s="113">
        <f t="shared" si="149"/>
        <v>0</v>
      </c>
      <c r="CF16" s="73" t="s">
        <v>8</v>
      </c>
      <c r="CG16" s="26" t="s">
        <v>8</v>
      </c>
      <c r="CH16" s="31">
        <f t="shared" si="150"/>
        <v>0.80565137862334824</v>
      </c>
      <c r="CI16" s="29">
        <f t="shared" si="151"/>
        <v>2.1467565705256542E-2</v>
      </c>
      <c r="CJ16" s="50">
        <f t="shared" si="152"/>
        <v>117682.14315083419</v>
      </c>
      <c r="CK16" s="113">
        <f t="shared" si="153"/>
        <v>0</v>
      </c>
      <c r="CL16" s="73" t="s">
        <v>8</v>
      </c>
      <c r="CM16" s="26" t="s">
        <v>8</v>
      </c>
      <c r="CN16" s="31">
        <f t="shared" si="154"/>
        <v>0.80565137862334824</v>
      </c>
      <c r="CO16" s="29">
        <f t="shared" si="155"/>
        <v>2.1467565705256542E-2</v>
      </c>
      <c r="CP16" s="50">
        <f t="shared" si="156"/>
        <v>117682.14315083419</v>
      </c>
      <c r="CQ16" s="113">
        <f t="shared" si="157"/>
        <v>0</v>
      </c>
      <c r="CR16" s="73" t="s">
        <v>8</v>
      </c>
      <c r="CS16" s="26" t="s">
        <v>8</v>
      </c>
      <c r="CT16" s="31">
        <f t="shared" si="158"/>
        <v>0.80565137862334824</v>
      </c>
      <c r="CU16" s="29">
        <f t="shared" si="159"/>
        <v>2.1467565705256542E-2</v>
      </c>
      <c r="CV16" s="50">
        <f t="shared" si="160"/>
        <v>117682.14315083419</v>
      </c>
      <c r="CW16" s="113">
        <f t="shared" si="161"/>
        <v>0</v>
      </c>
      <c r="CX16" s="73" t="s">
        <v>8</v>
      </c>
      <c r="CY16" s="26" t="s">
        <v>8</v>
      </c>
      <c r="CZ16" s="31">
        <f t="shared" si="162"/>
        <v>0.80565137862334824</v>
      </c>
      <c r="DA16" s="29">
        <f t="shared" si="163"/>
        <v>2.1467565705256542E-2</v>
      </c>
      <c r="DB16" s="50">
        <f t="shared" si="164"/>
        <v>117682.14315083419</v>
      </c>
      <c r="DC16" s="113">
        <f t="shared" si="165"/>
        <v>0</v>
      </c>
      <c r="DD16" s="73" t="s">
        <v>8</v>
      </c>
      <c r="DE16" s="26" t="s">
        <v>8</v>
      </c>
      <c r="DF16" s="31">
        <f t="shared" si="166"/>
        <v>0.80565137862334824</v>
      </c>
      <c r="DG16" s="29">
        <f t="shared" si="167"/>
        <v>2.1467565705256542E-2</v>
      </c>
      <c r="DH16" s="50">
        <f t="shared" si="168"/>
        <v>117682.14315083419</v>
      </c>
      <c r="DI16" s="113">
        <f t="shared" si="169"/>
        <v>0</v>
      </c>
      <c r="DJ16" s="73" t="s">
        <v>8</v>
      </c>
      <c r="DK16" s="26" t="s">
        <v>8</v>
      </c>
      <c r="DL16" s="31">
        <f t="shared" si="170"/>
        <v>0.80565137862334824</v>
      </c>
      <c r="DM16" s="29">
        <f t="shared" si="171"/>
        <v>2.1467565705256542E-2</v>
      </c>
      <c r="DN16" s="50">
        <f t="shared" si="172"/>
        <v>117682.14315083419</v>
      </c>
      <c r="DO16" s="113">
        <f t="shared" si="173"/>
        <v>0</v>
      </c>
      <c r="DP16" s="73" t="s">
        <v>8</v>
      </c>
      <c r="DQ16" s="26" t="s">
        <v>8</v>
      </c>
      <c r="DR16" s="31">
        <f t="shared" si="174"/>
        <v>0.80565137862334824</v>
      </c>
      <c r="DS16" s="29">
        <f t="shared" si="175"/>
        <v>2.1467565705256542E-2</v>
      </c>
      <c r="DT16" s="50">
        <f t="shared" si="176"/>
        <v>117682.14315083419</v>
      </c>
      <c r="DU16" s="113">
        <f t="shared" si="177"/>
        <v>0</v>
      </c>
      <c r="DV16" s="73" t="s">
        <v>8</v>
      </c>
      <c r="DW16" s="26" t="s">
        <v>8</v>
      </c>
      <c r="DX16" s="31">
        <f t="shared" si="178"/>
        <v>0.80565137862334824</v>
      </c>
      <c r="DY16" s="29">
        <f t="shared" si="179"/>
        <v>2.1467565705256542E-2</v>
      </c>
      <c r="DZ16" s="30">
        <f t="shared" si="180"/>
        <v>117682.14315083419</v>
      </c>
      <c r="EA16" s="77">
        <f t="shared" si="181"/>
        <v>0</v>
      </c>
      <c r="EB16" s="73" t="s">
        <v>8</v>
      </c>
      <c r="EC16" s="26" t="s">
        <v>8</v>
      </c>
      <c r="ED16" s="31">
        <f t="shared" si="182"/>
        <v>0.80565137862334824</v>
      </c>
      <c r="EE16" s="29">
        <f t="shared" si="183"/>
        <v>2.1467565705256542E-2</v>
      </c>
      <c r="EF16" s="30">
        <f t="shared" si="184"/>
        <v>117682.14315083419</v>
      </c>
      <c r="EG16" s="77">
        <f t="shared" si="185"/>
        <v>0</v>
      </c>
      <c r="EH16" s="73" t="s">
        <v>8</v>
      </c>
      <c r="EI16" s="26" t="s">
        <v>8</v>
      </c>
      <c r="EJ16" s="31">
        <f t="shared" si="186"/>
        <v>0.80565137862334824</v>
      </c>
      <c r="EK16" s="29">
        <f t="shared" si="187"/>
        <v>2.1467565705256542E-2</v>
      </c>
      <c r="EL16" s="30">
        <f t="shared" si="188"/>
        <v>117682.14315083419</v>
      </c>
      <c r="EM16" s="77">
        <f t="shared" si="189"/>
        <v>0</v>
      </c>
      <c r="EN16" s="73" t="s">
        <v>8</v>
      </c>
      <c r="EO16" s="26" t="s">
        <v>8</v>
      </c>
      <c r="EP16" s="31">
        <f t="shared" si="190"/>
        <v>0.80565137862334824</v>
      </c>
      <c r="EQ16" s="29">
        <f t="shared" si="191"/>
        <v>2.1467565705256542E-2</v>
      </c>
      <c r="ER16" s="30">
        <f t="shared" si="192"/>
        <v>117682.14315083419</v>
      </c>
      <c r="ES16" s="77">
        <f t="shared" si="193"/>
        <v>0</v>
      </c>
      <c r="ET16" s="73" t="s">
        <v>8</v>
      </c>
      <c r="EU16" s="26" t="s">
        <v>8</v>
      </c>
      <c r="EV16" s="31">
        <f t="shared" si="194"/>
        <v>0.80565137862334824</v>
      </c>
      <c r="EW16" s="29">
        <f t="shared" si="195"/>
        <v>2.1467565705256542E-2</v>
      </c>
      <c r="EX16" s="30">
        <f t="shared" si="196"/>
        <v>117682.14315083419</v>
      </c>
      <c r="EY16" s="77">
        <f t="shared" si="197"/>
        <v>0</v>
      </c>
      <c r="EZ16" s="73" t="s">
        <v>8</v>
      </c>
      <c r="FA16" s="26" t="s">
        <v>8</v>
      </c>
      <c r="FB16" s="31">
        <f t="shared" si="198"/>
        <v>0.80565137862334824</v>
      </c>
      <c r="FC16" s="29">
        <f t="shared" si="199"/>
        <v>2.1467565705256542E-2</v>
      </c>
      <c r="FD16" s="30">
        <f t="shared" si="200"/>
        <v>117682.14315083419</v>
      </c>
      <c r="FE16" s="77">
        <f t="shared" si="201"/>
        <v>0</v>
      </c>
      <c r="FF16" s="73" t="s">
        <v>8</v>
      </c>
      <c r="FG16" s="26" t="s">
        <v>8</v>
      </c>
      <c r="FH16" s="31">
        <f t="shared" si="202"/>
        <v>0.80565137862334824</v>
      </c>
      <c r="FI16" s="29">
        <f t="shared" si="203"/>
        <v>2.1467565705256542E-2</v>
      </c>
      <c r="FJ16" s="30">
        <f t="shared" si="204"/>
        <v>117682.14315083419</v>
      </c>
      <c r="FK16" s="77">
        <f t="shared" si="205"/>
        <v>0</v>
      </c>
      <c r="FL16" s="73" t="s">
        <v>8</v>
      </c>
      <c r="FM16" s="26" t="s">
        <v>8</v>
      </c>
      <c r="FN16" s="31">
        <f t="shared" si="206"/>
        <v>0.80565137862334824</v>
      </c>
      <c r="FO16" s="29">
        <f t="shared" si="207"/>
        <v>2.1467565705256542E-2</v>
      </c>
      <c r="FP16" s="30">
        <f t="shared" si="208"/>
        <v>117682.14315083419</v>
      </c>
      <c r="FQ16" s="77">
        <f t="shared" si="209"/>
        <v>0</v>
      </c>
      <c r="FR16" s="73" t="s">
        <v>8</v>
      </c>
      <c r="FS16" s="26" t="s">
        <v>8</v>
      </c>
      <c r="FT16" s="31">
        <f t="shared" si="210"/>
        <v>0.80565137862334824</v>
      </c>
      <c r="FU16" s="29">
        <f t="shared" si="211"/>
        <v>2.1467565705256542E-2</v>
      </c>
      <c r="FV16" s="30">
        <f t="shared" si="212"/>
        <v>117682.14315083419</v>
      </c>
      <c r="FW16" s="77">
        <f t="shared" si="213"/>
        <v>0</v>
      </c>
      <c r="FX16" s="73" t="s">
        <v>8</v>
      </c>
      <c r="FY16" s="26" t="s">
        <v>8</v>
      </c>
      <c r="FZ16" s="31">
        <f t="shared" si="214"/>
        <v>0.80565137862334824</v>
      </c>
      <c r="GA16" s="29">
        <f t="shared" si="215"/>
        <v>2.1467565705256542E-2</v>
      </c>
      <c r="GB16" s="30">
        <f t="shared" si="216"/>
        <v>117682.14315083419</v>
      </c>
      <c r="GC16" s="77">
        <f t="shared" si="217"/>
        <v>0</v>
      </c>
      <c r="GD16" s="73" t="s">
        <v>8</v>
      </c>
      <c r="GE16" s="26" t="s">
        <v>8</v>
      </c>
      <c r="GF16" s="31">
        <f t="shared" si="218"/>
        <v>0.80565137862334824</v>
      </c>
      <c r="GG16" s="29">
        <f t="shared" si="219"/>
        <v>2.1467565705256542E-2</v>
      </c>
      <c r="GH16" s="30">
        <f t="shared" si="220"/>
        <v>117682.14315083419</v>
      </c>
      <c r="GI16" s="113">
        <f t="shared" si="221"/>
        <v>0</v>
      </c>
      <c r="GJ16" s="147">
        <f t="shared" si="227"/>
        <v>625233.3058739882</v>
      </c>
      <c r="GK16" s="88">
        <f t="shared" si="222"/>
        <v>1289016.2872879165</v>
      </c>
      <c r="GL16" s="168">
        <f>K16+GK16/($H$19/$G$19)/G16/I16</f>
        <v>0.80565137862334824</v>
      </c>
      <c r="GM16" s="88">
        <v>1296442.99</v>
      </c>
      <c r="GN16" s="173">
        <f>GK16-GM16</f>
        <v>-7426.7027120834682</v>
      </c>
    </row>
    <row r="17" spans="1:196" s="21" customFormat="1" ht="18.75" x14ac:dyDescent="0.3">
      <c r="A17" s="176" t="s">
        <v>178</v>
      </c>
      <c r="B17" s="191" t="s">
        <v>8</v>
      </c>
      <c r="C17" s="137" t="s">
        <v>8</v>
      </c>
      <c r="D17" s="137" t="s">
        <v>8</v>
      </c>
      <c r="E17" s="137" t="s">
        <v>8</v>
      </c>
      <c r="F17" s="137" t="s">
        <v>8</v>
      </c>
      <c r="G17" s="94">
        <f>'Исходные данные'!C19</f>
        <v>1629</v>
      </c>
      <c r="H17" s="27">
        <f>'Исходные данные'!D19</f>
        <v>1451490</v>
      </c>
      <c r="I17" s="28">
        <f>'Расчет КРП'!E15</f>
        <v>2.0265561566018535</v>
      </c>
      <c r="J17" s="101" t="s">
        <v>8</v>
      </c>
      <c r="K17" s="105">
        <f t="shared" si="104"/>
        <v>0.26401353463345589</v>
      </c>
      <c r="L17" s="74">
        <f t="shared" si="223"/>
        <v>1143025.8739146821</v>
      </c>
      <c r="M17" s="70">
        <f t="shared" si="224"/>
        <v>0.47192010040360249</v>
      </c>
      <c r="N17" s="26" t="s">
        <v>8</v>
      </c>
      <c r="O17" s="29">
        <f t="shared" si="105"/>
        <v>0.13663711952382401</v>
      </c>
      <c r="P17" s="30">
        <f t="shared" si="225"/>
        <v>1067708.7471872715</v>
      </c>
      <c r="Q17" s="77">
        <f t="shared" si="226"/>
        <v>1067708.7471872715</v>
      </c>
      <c r="R17" s="141" t="s">
        <v>8</v>
      </c>
      <c r="S17" s="26" t="s">
        <v>8</v>
      </c>
      <c r="T17" s="31">
        <f t="shared" si="106"/>
        <v>0.66612712925255801</v>
      </c>
      <c r="U17" s="29">
        <f t="shared" si="107"/>
        <v>6.8766295200353378E-2</v>
      </c>
      <c r="V17" s="50">
        <f t="shared" si="108"/>
        <v>591657.30210316868</v>
      </c>
      <c r="W17" s="77">
        <f t="shared" si="109"/>
        <v>591657.30210316868</v>
      </c>
      <c r="X17" s="73" t="s">
        <v>8</v>
      </c>
      <c r="Y17" s="26" t="s">
        <v>8</v>
      </c>
      <c r="Z17" s="31">
        <f t="shared" si="110"/>
        <v>0.77374449872802953</v>
      </c>
      <c r="AA17" s="29">
        <f t="shared" si="111"/>
        <v>3.1861813170079856E-2</v>
      </c>
      <c r="AB17" s="50">
        <f t="shared" si="112"/>
        <v>292838.30433523218</v>
      </c>
      <c r="AC17" s="77">
        <f t="shared" si="113"/>
        <v>183052.94998798845</v>
      </c>
      <c r="AD17" s="73" t="s">
        <v>8</v>
      </c>
      <c r="AE17" s="26" t="s">
        <v>8</v>
      </c>
      <c r="AF17" s="31">
        <f t="shared" si="114"/>
        <v>0.80704025436631166</v>
      </c>
      <c r="AG17" s="29">
        <f t="shared" si="115"/>
        <v>2.0078689962293117E-2</v>
      </c>
      <c r="AH17" s="50">
        <f t="shared" si="116"/>
        <v>187905.68098928424</v>
      </c>
      <c r="AI17" s="77">
        <f t="shared" si="117"/>
        <v>0</v>
      </c>
      <c r="AJ17" s="73" t="s">
        <v>8</v>
      </c>
      <c r="AK17" s="26" t="s">
        <v>8</v>
      </c>
      <c r="AL17" s="31">
        <f t="shared" si="118"/>
        <v>0.80704025436631166</v>
      </c>
      <c r="AM17" s="29">
        <f t="shared" si="119"/>
        <v>2.0078689962293117E-2</v>
      </c>
      <c r="AN17" s="50">
        <f t="shared" si="120"/>
        <v>187905.68098928424</v>
      </c>
      <c r="AO17" s="77">
        <f t="shared" si="121"/>
        <v>0</v>
      </c>
      <c r="AP17" s="73" t="s">
        <v>8</v>
      </c>
      <c r="AQ17" s="26" t="s">
        <v>8</v>
      </c>
      <c r="AR17" s="31">
        <f t="shared" si="122"/>
        <v>0.80704025436631166</v>
      </c>
      <c r="AS17" s="29">
        <f t="shared" si="123"/>
        <v>2.0078689962293117E-2</v>
      </c>
      <c r="AT17" s="50">
        <f t="shared" si="124"/>
        <v>187905.68098928424</v>
      </c>
      <c r="AU17" s="77">
        <f t="shared" si="125"/>
        <v>0</v>
      </c>
      <c r="AV17" s="73" t="s">
        <v>8</v>
      </c>
      <c r="AW17" s="26" t="s">
        <v>8</v>
      </c>
      <c r="AX17" s="31">
        <f t="shared" si="126"/>
        <v>0.80704025436631166</v>
      </c>
      <c r="AY17" s="29">
        <f t="shared" si="127"/>
        <v>2.0078689962293117E-2</v>
      </c>
      <c r="AZ17" s="50">
        <f t="shared" si="128"/>
        <v>187905.68098928424</v>
      </c>
      <c r="BA17" s="77">
        <f t="shared" si="129"/>
        <v>0</v>
      </c>
      <c r="BB17" s="73" t="s">
        <v>8</v>
      </c>
      <c r="BC17" s="26" t="s">
        <v>8</v>
      </c>
      <c r="BD17" s="31">
        <f t="shared" si="130"/>
        <v>0.80704025436631166</v>
      </c>
      <c r="BE17" s="29">
        <f t="shared" si="131"/>
        <v>2.0078689962293117E-2</v>
      </c>
      <c r="BF17" s="50">
        <f t="shared" si="132"/>
        <v>187905.68098928424</v>
      </c>
      <c r="BG17" s="77">
        <f t="shared" si="133"/>
        <v>0</v>
      </c>
      <c r="BH17" s="73" t="s">
        <v>8</v>
      </c>
      <c r="BI17" s="26" t="s">
        <v>8</v>
      </c>
      <c r="BJ17" s="31">
        <f t="shared" si="134"/>
        <v>0.80704025436631166</v>
      </c>
      <c r="BK17" s="29">
        <f t="shared" si="135"/>
        <v>2.0078689962293117E-2</v>
      </c>
      <c r="BL17" s="50">
        <f t="shared" si="136"/>
        <v>187905.68098928424</v>
      </c>
      <c r="BM17" s="77">
        <f t="shared" si="137"/>
        <v>0</v>
      </c>
      <c r="BN17" s="73" t="s">
        <v>8</v>
      </c>
      <c r="BO17" s="26" t="s">
        <v>8</v>
      </c>
      <c r="BP17" s="31">
        <f t="shared" si="138"/>
        <v>0.80704025436631166</v>
      </c>
      <c r="BQ17" s="29">
        <f t="shared" si="139"/>
        <v>2.0078689962293117E-2</v>
      </c>
      <c r="BR17" s="50">
        <f t="shared" si="140"/>
        <v>187905.68098928424</v>
      </c>
      <c r="BS17" s="113">
        <f t="shared" si="141"/>
        <v>0</v>
      </c>
      <c r="BT17" s="73" t="s">
        <v>8</v>
      </c>
      <c r="BU17" s="26" t="s">
        <v>8</v>
      </c>
      <c r="BV17" s="31">
        <f t="shared" si="142"/>
        <v>0.80704025436631166</v>
      </c>
      <c r="BW17" s="29">
        <f t="shared" si="143"/>
        <v>2.0078689962293117E-2</v>
      </c>
      <c r="BX17" s="50">
        <f t="shared" si="144"/>
        <v>187905.68098928424</v>
      </c>
      <c r="BY17" s="113">
        <f t="shared" si="145"/>
        <v>0</v>
      </c>
      <c r="BZ17" s="73" t="s">
        <v>8</v>
      </c>
      <c r="CA17" s="26" t="s">
        <v>8</v>
      </c>
      <c r="CB17" s="31">
        <f t="shared" si="146"/>
        <v>0.80704025436631166</v>
      </c>
      <c r="CC17" s="29">
        <f t="shared" si="147"/>
        <v>2.0078689962293117E-2</v>
      </c>
      <c r="CD17" s="50">
        <f t="shared" si="148"/>
        <v>187905.68098928424</v>
      </c>
      <c r="CE17" s="113">
        <f t="shared" si="149"/>
        <v>0</v>
      </c>
      <c r="CF17" s="73" t="s">
        <v>8</v>
      </c>
      <c r="CG17" s="26" t="s">
        <v>8</v>
      </c>
      <c r="CH17" s="31">
        <f t="shared" si="150"/>
        <v>0.80704025436631166</v>
      </c>
      <c r="CI17" s="29">
        <f t="shared" si="151"/>
        <v>2.0078689962293117E-2</v>
      </c>
      <c r="CJ17" s="50">
        <f t="shared" si="152"/>
        <v>187905.68098928424</v>
      </c>
      <c r="CK17" s="113">
        <f t="shared" si="153"/>
        <v>0</v>
      </c>
      <c r="CL17" s="73" t="s">
        <v>8</v>
      </c>
      <c r="CM17" s="26" t="s">
        <v>8</v>
      </c>
      <c r="CN17" s="31">
        <f t="shared" si="154"/>
        <v>0.80704025436631166</v>
      </c>
      <c r="CO17" s="29">
        <f t="shared" si="155"/>
        <v>2.0078689962293117E-2</v>
      </c>
      <c r="CP17" s="50">
        <f t="shared" si="156"/>
        <v>187905.68098928424</v>
      </c>
      <c r="CQ17" s="113">
        <f t="shared" si="157"/>
        <v>0</v>
      </c>
      <c r="CR17" s="73" t="s">
        <v>8</v>
      </c>
      <c r="CS17" s="26" t="s">
        <v>8</v>
      </c>
      <c r="CT17" s="31">
        <f t="shared" si="158"/>
        <v>0.80704025436631166</v>
      </c>
      <c r="CU17" s="29">
        <f t="shared" si="159"/>
        <v>2.0078689962293117E-2</v>
      </c>
      <c r="CV17" s="50">
        <f t="shared" si="160"/>
        <v>187905.68098928424</v>
      </c>
      <c r="CW17" s="113">
        <f t="shared" si="161"/>
        <v>0</v>
      </c>
      <c r="CX17" s="73" t="s">
        <v>8</v>
      </c>
      <c r="CY17" s="26" t="s">
        <v>8</v>
      </c>
      <c r="CZ17" s="31">
        <f t="shared" si="162"/>
        <v>0.80704025436631166</v>
      </c>
      <c r="DA17" s="29">
        <f t="shared" si="163"/>
        <v>2.0078689962293117E-2</v>
      </c>
      <c r="DB17" s="50">
        <f t="shared" si="164"/>
        <v>187905.68098928424</v>
      </c>
      <c r="DC17" s="113">
        <f t="shared" si="165"/>
        <v>0</v>
      </c>
      <c r="DD17" s="73" t="s">
        <v>8</v>
      </c>
      <c r="DE17" s="26" t="s">
        <v>8</v>
      </c>
      <c r="DF17" s="31">
        <f t="shared" si="166"/>
        <v>0.80704025436631166</v>
      </c>
      <c r="DG17" s="29">
        <f t="shared" si="167"/>
        <v>2.0078689962293117E-2</v>
      </c>
      <c r="DH17" s="50">
        <f t="shared" si="168"/>
        <v>187905.68098928424</v>
      </c>
      <c r="DI17" s="113">
        <f t="shared" si="169"/>
        <v>0</v>
      </c>
      <c r="DJ17" s="73" t="s">
        <v>8</v>
      </c>
      <c r="DK17" s="26" t="s">
        <v>8</v>
      </c>
      <c r="DL17" s="31">
        <f t="shared" si="170"/>
        <v>0.80704025436631166</v>
      </c>
      <c r="DM17" s="29">
        <f t="shared" si="171"/>
        <v>2.0078689962293117E-2</v>
      </c>
      <c r="DN17" s="50">
        <f t="shared" si="172"/>
        <v>187905.68098928424</v>
      </c>
      <c r="DO17" s="113">
        <f t="shared" si="173"/>
        <v>0</v>
      </c>
      <c r="DP17" s="73" t="s">
        <v>8</v>
      </c>
      <c r="DQ17" s="26" t="s">
        <v>8</v>
      </c>
      <c r="DR17" s="31">
        <f t="shared" si="174"/>
        <v>0.80704025436631166</v>
      </c>
      <c r="DS17" s="29">
        <f t="shared" si="175"/>
        <v>2.0078689962293117E-2</v>
      </c>
      <c r="DT17" s="50">
        <f t="shared" si="176"/>
        <v>187905.68098928424</v>
      </c>
      <c r="DU17" s="113">
        <f t="shared" si="177"/>
        <v>0</v>
      </c>
      <c r="DV17" s="73" t="s">
        <v>8</v>
      </c>
      <c r="DW17" s="26" t="s">
        <v>8</v>
      </c>
      <c r="DX17" s="31">
        <f t="shared" si="178"/>
        <v>0.80704025436631166</v>
      </c>
      <c r="DY17" s="29">
        <f t="shared" si="179"/>
        <v>2.0078689962293117E-2</v>
      </c>
      <c r="DZ17" s="30">
        <f t="shared" si="180"/>
        <v>187905.68098928424</v>
      </c>
      <c r="EA17" s="77">
        <f t="shared" si="181"/>
        <v>0</v>
      </c>
      <c r="EB17" s="73" t="s">
        <v>8</v>
      </c>
      <c r="EC17" s="26" t="s">
        <v>8</v>
      </c>
      <c r="ED17" s="31">
        <f t="shared" si="182"/>
        <v>0.80704025436631166</v>
      </c>
      <c r="EE17" s="29">
        <f t="shared" si="183"/>
        <v>2.0078689962293117E-2</v>
      </c>
      <c r="EF17" s="30">
        <f t="shared" si="184"/>
        <v>187905.68098928424</v>
      </c>
      <c r="EG17" s="77">
        <f t="shared" si="185"/>
        <v>0</v>
      </c>
      <c r="EH17" s="73" t="s">
        <v>8</v>
      </c>
      <c r="EI17" s="26" t="s">
        <v>8</v>
      </c>
      <c r="EJ17" s="31">
        <f t="shared" si="186"/>
        <v>0.80704025436631166</v>
      </c>
      <c r="EK17" s="29">
        <f t="shared" si="187"/>
        <v>2.0078689962293117E-2</v>
      </c>
      <c r="EL17" s="30">
        <f t="shared" si="188"/>
        <v>187905.68098928424</v>
      </c>
      <c r="EM17" s="77">
        <f t="shared" si="189"/>
        <v>0</v>
      </c>
      <c r="EN17" s="73" t="s">
        <v>8</v>
      </c>
      <c r="EO17" s="26" t="s">
        <v>8</v>
      </c>
      <c r="EP17" s="31">
        <f t="shared" si="190"/>
        <v>0.80704025436631166</v>
      </c>
      <c r="EQ17" s="29">
        <f t="shared" si="191"/>
        <v>2.0078689962293117E-2</v>
      </c>
      <c r="ER17" s="30">
        <f t="shared" si="192"/>
        <v>187905.68098928424</v>
      </c>
      <c r="ES17" s="77">
        <f t="shared" si="193"/>
        <v>0</v>
      </c>
      <c r="ET17" s="73" t="s">
        <v>8</v>
      </c>
      <c r="EU17" s="26" t="s">
        <v>8</v>
      </c>
      <c r="EV17" s="31">
        <f t="shared" si="194"/>
        <v>0.80704025436631166</v>
      </c>
      <c r="EW17" s="29">
        <f t="shared" si="195"/>
        <v>2.0078689962293117E-2</v>
      </c>
      <c r="EX17" s="30">
        <f t="shared" si="196"/>
        <v>187905.68098928424</v>
      </c>
      <c r="EY17" s="77">
        <f t="shared" si="197"/>
        <v>0</v>
      </c>
      <c r="EZ17" s="73" t="s">
        <v>8</v>
      </c>
      <c r="FA17" s="26" t="s">
        <v>8</v>
      </c>
      <c r="FB17" s="31">
        <f t="shared" si="198"/>
        <v>0.80704025436631166</v>
      </c>
      <c r="FC17" s="29">
        <f t="shared" si="199"/>
        <v>2.0078689962293117E-2</v>
      </c>
      <c r="FD17" s="30">
        <f t="shared" si="200"/>
        <v>187905.68098928424</v>
      </c>
      <c r="FE17" s="77">
        <f t="shared" si="201"/>
        <v>0</v>
      </c>
      <c r="FF17" s="73" t="s">
        <v>8</v>
      </c>
      <c r="FG17" s="26" t="s">
        <v>8</v>
      </c>
      <c r="FH17" s="31">
        <f t="shared" si="202"/>
        <v>0.80704025436631166</v>
      </c>
      <c r="FI17" s="29">
        <f t="shared" si="203"/>
        <v>2.0078689962293117E-2</v>
      </c>
      <c r="FJ17" s="30">
        <f t="shared" si="204"/>
        <v>187905.68098928424</v>
      </c>
      <c r="FK17" s="77">
        <f t="shared" si="205"/>
        <v>0</v>
      </c>
      <c r="FL17" s="73" t="s">
        <v>8</v>
      </c>
      <c r="FM17" s="26" t="s">
        <v>8</v>
      </c>
      <c r="FN17" s="31">
        <f t="shared" si="206"/>
        <v>0.80704025436631166</v>
      </c>
      <c r="FO17" s="29">
        <f t="shared" si="207"/>
        <v>2.0078689962293117E-2</v>
      </c>
      <c r="FP17" s="30">
        <f t="shared" si="208"/>
        <v>187905.68098928424</v>
      </c>
      <c r="FQ17" s="77">
        <f t="shared" si="209"/>
        <v>0</v>
      </c>
      <c r="FR17" s="73" t="s">
        <v>8</v>
      </c>
      <c r="FS17" s="26" t="s">
        <v>8</v>
      </c>
      <c r="FT17" s="31">
        <f t="shared" si="210"/>
        <v>0.80704025436631166</v>
      </c>
      <c r="FU17" s="29">
        <f t="shared" si="211"/>
        <v>2.0078689962293117E-2</v>
      </c>
      <c r="FV17" s="30">
        <f t="shared" si="212"/>
        <v>187905.68098928424</v>
      </c>
      <c r="FW17" s="77">
        <f t="shared" si="213"/>
        <v>0</v>
      </c>
      <c r="FX17" s="73" t="s">
        <v>8</v>
      </c>
      <c r="FY17" s="26" t="s">
        <v>8</v>
      </c>
      <c r="FZ17" s="31">
        <f t="shared" si="214"/>
        <v>0.80704025436631166</v>
      </c>
      <c r="GA17" s="29">
        <f t="shared" si="215"/>
        <v>2.0078689962293117E-2</v>
      </c>
      <c r="GB17" s="30">
        <f t="shared" si="216"/>
        <v>187905.68098928424</v>
      </c>
      <c r="GC17" s="77">
        <f t="shared" si="217"/>
        <v>0</v>
      </c>
      <c r="GD17" s="73" t="s">
        <v>8</v>
      </c>
      <c r="GE17" s="26" t="s">
        <v>8</v>
      </c>
      <c r="GF17" s="31">
        <f t="shared" si="218"/>
        <v>0.80704025436631166</v>
      </c>
      <c r="GG17" s="29">
        <f t="shared" si="219"/>
        <v>2.0078689962293117E-2</v>
      </c>
      <c r="GH17" s="30">
        <f t="shared" si="220"/>
        <v>187905.68098928424</v>
      </c>
      <c r="GI17" s="113">
        <f t="shared" si="221"/>
        <v>0</v>
      </c>
      <c r="GJ17" s="147">
        <f t="shared" si="227"/>
        <v>1842418.9992784285</v>
      </c>
      <c r="GK17" s="88">
        <f t="shared" si="222"/>
        <v>2985444.8731931103</v>
      </c>
      <c r="GL17" s="168">
        <f>K17+GK17/($H$19/$G$19)/G17/I17</f>
        <v>0.80704025436631144</v>
      </c>
      <c r="GM17" s="88">
        <v>2386117.31</v>
      </c>
      <c r="GN17" s="173">
        <f>GK17-GM17</f>
        <v>599327.56319311028</v>
      </c>
    </row>
    <row r="18" spans="1:196" s="21" customFormat="1" ht="16.5" customHeight="1" thickBot="1" x14ac:dyDescent="0.35">
      <c r="A18" s="176" t="s">
        <v>179</v>
      </c>
      <c r="B18" s="191" t="s">
        <v>8</v>
      </c>
      <c r="C18" s="137" t="s">
        <v>8</v>
      </c>
      <c r="D18" s="137" t="s">
        <v>8</v>
      </c>
      <c r="E18" s="137" t="s">
        <v>8</v>
      </c>
      <c r="F18" s="137" t="s">
        <v>8</v>
      </c>
      <c r="G18" s="94">
        <f>'Исходные данные'!C20</f>
        <v>8555</v>
      </c>
      <c r="H18" s="27">
        <f>'Исходные данные'!D20</f>
        <v>18222457</v>
      </c>
      <c r="I18" s="28">
        <f>'Расчет КРП'!E16</f>
        <v>2.1022456971982941</v>
      </c>
      <c r="J18" s="101" t="s">
        <v>8</v>
      </c>
      <c r="K18" s="105">
        <f t="shared" si="104"/>
        <v>0.60840856368768614</v>
      </c>
      <c r="L18" s="74">
        <f t="shared" si="223"/>
        <v>6002815.4397422373</v>
      </c>
      <c r="M18" s="70">
        <f t="shared" si="224"/>
        <v>0.80882963312831324</v>
      </c>
      <c r="N18" s="26" t="s">
        <v>8</v>
      </c>
      <c r="O18" s="29">
        <f t="shared" si="105"/>
        <v>-0.20027241320088673</v>
      </c>
      <c r="P18" s="30">
        <f t="shared" si="225"/>
        <v>0</v>
      </c>
      <c r="Q18" s="77">
        <f t="shared" si="226"/>
        <v>0</v>
      </c>
      <c r="R18" s="141" t="s">
        <v>8</v>
      </c>
      <c r="S18" s="26" t="s">
        <v>8</v>
      </c>
      <c r="T18" s="31">
        <f t="shared" si="106"/>
        <v>0.80882963312831324</v>
      </c>
      <c r="U18" s="29">
        <f t="shared" si="107"/>
        <v>-7.3936208675401849E-2</v>
      </c>
      <c r="V18" s="50">
        <f t="shared" si="108"/>
        <v>0</v>
      </c>
      <c r="W18" s="77">
        <f t="shared" si="109"/>
        <v>0</v>
      </c>
      <c r="X18" s="73" t="s">
        <v>8</v>
      </c>
      <c r="Y18" s="26" t="s">
        <v>8</v>
      </c>
      <c r="Z18" s="31">
        <f t="shared" si="110"/>
        <v>0.80882963312831324</v>
      </c>
      <c r="AA18" s="29">
        <f t="shared" si="111"/>
        <v>-3.2233212302038572E-3</v>
      </c>
      <c r="AB18" s="50">
        <f t="shared" si="112"/>
        <v>0</v>
      </c>
      <c r="AC18" s="77">
        <f t="shared" si="113"/>
        <v>0</v>
      </c>
      <c r="AD18" s="73" t="s">
        <v>8</v>
      </c>
      <c r="AE18" s="26" t="s">
        <v>8</v>
      </c>
      <c r="AF18" s="31">
        <f t="shared" si="114"/>
        <v>0.80882963312831324</v>
      </c>
      <c r="AG18" s="29">
        <f t="shared" si="115"/>
        <v>1.8289311200291536E-2</v>
      </c>
      <c r="AH18" s="50">
        <f t="shared" si="116"/>
        <v>932450.1978375226</v>
      </c>
      <c r="AI18" s="77">
        <f t="shared" si="117"/>
        <v>0</v>
      </c>
      <c r="AJ18" s="73" t="s">
        <v>8</v>
      </c>
      <c r="AK18" s="26" t="s">
        <v>8</v>
      </c>
      <c r="AL18" s="31">
        <f t="shared" si="118"/>
        <v>0.80882963312831324</v>
      </c>
      <c r="AM18" s="29">
        <f t="shared" si="119"/>
        <v>1.8289311200291536E-2</v>
      </c>
      <c r="AN18" s="50">
        <f t="shared" si="120"/>
        <v>932450.1978375226</v>
      </c>
      <c r="AO18" s="77">
        <f t="shared" si="121"/>
        <v>0</v>
      </c>
      <c r="AP18" s="73" t="s">
        <v>8</v>
      </c>
      <c r="AQ18" s="26" t="s">
        <v>8</v>
      </c>
      <c r="AR18" s="31">
        <f t="shared" si="122"/>
        <v>0.80882963312831324</v>
      </c>
      <c r="AS18" s="29">
        <f t="shared" si="123"/>
        <v>1.8289311200291536E-2</v>
      </c>
      <c r="AT18" s="50">
        <f t="shared" si="124"/>
        <v>932450.1978375226</v>
      </c>
      <c r="AU18" s="77">
        <f t="shared" si="125"/>
        <v>0</v>
      </c>
      <c r="AV18" s="73" t="s">
        <v>8</v>
      </c>
      <c r="AW18" s="26" t="s">
        <v>8</v>
      </c>
      <c r="AX18" s="31">
        <f t="shared" si="126"/>
        <v>0.80882963312831324</v>
      </c>
      <c r="AY18" s="29">
        <f t="shared" si="127"/>
        <v>1.8289311200291536E-2</v>
      </c>
      <c r="AZ18" s="50">
        <f t="shared" si="128"/>
        <v>932450.1978375226</v>
      </c>
      <c r="BA18" s="77">
        <f t="shared" si="129"/>
        <v>0</v>
      </c>
      <c r="BB18" s="73" t="s">
        <v>8</v>
      </c>
      <c r="BC18" s="26" t="s">
        <v>8</v>
      </c>
      <c r="BD18" s="31">
        <f t="shared" si="130"/>
        <v>0.80882963312831324</v>
      </c>
      <c r="BE18" s="29">
        <f t="shared" si="131"/>
        <v>1.8289311200291536E-2</v>
      </c>
      <c r="BF18" s="50">
        <f t="shared" si="132"/>
        <v>932450.1978375226</v>
      </c>
      <c r="BG18" s="77">
        <f t="shared" si="133"/>
        <v>0</v>
      </c>
      <c r="BH18" s="73" t="s">
        <v>8</v>
      </c>
      <c r="BI18" s="26" t="s">
        <v>8</v>
      </c>
      <c r="BJ18" s="31">
        <f t="shared" si="134"/>
        <v>0.80882963312831324</v>
      </c>
      <c r="BK18" s="29">
        <f t="shared" si="135"/>
        <v>1.8289311200291536E-2</v>
      </c>
      <c r="BL18" s="50">
        <f t="shared" si="136"/>
        <v>932450.1978375226</v>
      </c>
      <c r="BM18" s="77">
        <f t="shared" si="137"/>
        <v>0</v>
      </c>
      <c r="BN18" s="73" t="s">
        <v>8</v>
      </c>
      <c r="BO18" s="26" t="s">
        <v>8</v>
      </c>
      <c r="BP18" s="31">
        <f t="shared" si="138"/>
        <v>0.80882963312831324</v>
      </c>
      <c r="BQ18" s="29">
        <f t="shared" si="139"/>
        <v>1.8289311200291536E-2</v>
      </c>
      <c r="BR18" s="50">
        <f t="shared" si="140"/>
        <v>932450.1978375226</v>
      </c>
      <c r="BS18" s="113">
        <f t="shared" si="141"/>
        <v>0</v>
      </c>
      <c r="BT18" s="73" t="s">
        <v>8</v>
      </c>
      <c r="BU18" s="26" t="s">
        <v>8</v>
      </c>
      <c r="BV18" s="31">
        <f t="shared" si="142"/>
        <v>0.80882963312831324</v>
      </c>
      <c r="BW18" s="29">
        <f t="shared" si="143"/>
        <v>1.8289311200291536E-2</v>
      </c>
      <c r="BX18" s="50">
        <f t="shared" si="144"/>
        <v>932450.1978375226</v>
      </c>
      <c r="BY18" s="113">
        <f t="shared" si="145"/>
        <v>0</v>
      </c>
      <c r="BZ18" s="73" t="s">
        <v>8</v>
      </c>
      <c r="CA18" s="26" t="s">
        <v>8</v>
      </c>
      <c r="CB18" s="31">
        <f t="shared" si="146"/>
        <v>0.80882963312831324</v>
      </c>
      <c r="CC18" s="29">
        <f t="shared" si="147"/>
        <v>1.8289311200291536E-2</v>
      </c>
      <c r="CD18" s="50">
        <f t="shared" si="148"/>
        <v>932450.1978375226</v>
      </c>
      <c r="CE18" s="113">
        <f t="shared" si="149"/>
        <v>0</v>
      </c>
      <c r="CF18" s="73" t="s">
        <v>8</v>
      </c>
      <c r="CG18" s="26" t="s">
        <v>8</v>
      </c>
      <c r="CH18" s="31">
        <f t="shared" si="150"/>
        <v>0.80882963312831324</v>
      </c>
      <c r="CI18" s="29">
        <f t="shared" si="151"/>
        <v>1.8289311200291536E-2</v>
      </c>
      <c r="CJ18" s="50">
        <f t="shared" si="152"/>
        <v>932450.1978375226</v>
      </c>
      <c r="CK18" s="113">
        <f t="shared" si="153"/>
        <v>0</v>
      </c>
      <c r="CL18" s="73" t="s">
        <v>8</v>
      </c>
      <c r="CM18" s="26" t="s">
        <v>8</v>
      </c>
      <c r="CN18" s="31">
        <f t="shared" si="154"/>
        <v>0.80882963312831324</v>
      </c>
      <c r="CO18" s="29">
        <f t="shared" si="155"/>
        <v>1.8289311200291536E-2</v>
      </c>
      <c r="CP18" s="50">
        <f t="shared" si="156"/>
        <v>932450.1978375226</v>
      </c>
      <c r="CQ18" s="113">
        <f t="shared" si="157"/>
        <v>0</v>
      </c>
      <c r="CR18" s="73" t="s">
        <v>8</v>
      </c>
      <c r="CS18" s="26" t="s">
        <v>8</v>
      </c>
      <c r="CT18" s="31">
        <f t="shared" si="158"/>
        <v>0.80882963312831324</v>
      </c>
      <c r="CU18" s="29">
        <f t="shared" si="159"/>
        <v>1.8289311200291536E-2</v>
      </c>
      <c r="CV18" s="50">
        <f t="shared" si="160"/>
        <v>932450.1978375226</v>
      </c>
      <c r="CW18" s="113">
        <f t="shared" si="161"/>
        <v>0</v>
      </c>
      <c r="CX18" s="73" t="s">
        <v>8</v>
      </c>
      <c r="CY18" s="26" t="s">
        <v>8</v>
      </c>
      <c r="CZ18" s="31">
        <f t="shared" si="162"/>
        <v>0.80882963312831324</v>
      </c>
      <c r="DA18" s="29">
        <f t="shared" si="163"/>
        <v>1.8289311200291536E-2</v>
      </c>
      <c r="DB18" s="50">
        <f t="shared" si="164"/>
        <v>932450.1978375226</v>
      </c>
      <c r="DC18" s="113">
        <f t="shared" si="165"/>
        <v>0</v>
      </c>
      <c r="DD18" s="73" t="s">
        <v>8</v>
      </c>
      <c r="DE18" s="26" t="s">
        <v>8</v>
      </c>
      <c r="DF18" s="31">
        <f t="shared" si="166"/>
        <v>0.80882963312831324</v>
      </c>
      <c r="DG18" s="29">
        <f t="shared" si="167"/>
        <v>1.8289311200291536E-2</v>
      </c>
      <c r="DH18" s="50">
        <f t="shared" si="168"/>
        <v>932450.1978375226</v>
      </c>
      <c r="DI18" s="113">
        <f t="shared" si="169"/>
        <v>0</v>
      </c>
      <c r="DJ18" s="73" t="s">
        <v>8</v>
      </c>
      <c r="DK18" s="26" t="s">
        <v>8</v>
      </c>
      <c r="DL18" s="31">
        <f t="shared" si="170"/>
        <v>0.80882963312831324</v>
      </c>
      <c r="DM18" s="29">
        <f t="shared" si="171"/>
        <v>1.8289311200291536E-2</v>
      </c>
      <c r="DN18" s="50">
        <f t="shared" si="172"/>
        <v>932450.1978375226</v>
      </c>
      <c r="DO18" s="113">
        <f t="shared" si="173"/>
        <v>0</v>
      </c>
      <c r="DP18" s="73" t="s">
        <v>8</v>
      </c>
      <c r="DQ18" s="26" t="s">
        <v>8</v>
      </c>
      <c r="DR18" s="31">
        <f t="shared" si="174"/>
        <v>0.80882963312831324</v>
      </c>
      <c r="DS18" s="29">
        <f t="shared" si="175"/>
        <v>1.8289311200291536E-2</v>
      </c>
      <c r="DT18" s="50">
        <f t="shared" si="176"/>
        <v>932450.1978375226</v>
      </c>
      <c r="DU18" s="113">
        <f t="shared" si="177"/>
        <v>0</v>
      </c>
      <c r="DV18" s="73" t="s">
        <v>8</v>
      </c>
      <c r="DW18" s="26" t="s">
        <v>8</v>
      </c>
      <c r="DX18" s="31">
        <f t="shared" si="178"/>
        <v>0.80882963312831324</v>
      </c>
      <c r="DY18" s="29">
        <f t="shared" si="179"/>
        <v>1.8289311200291536E-2</v>
      </c>
      <c r="DZ18" s="30">
        <f t="shared" si="180"/>
        <v>932450.1978375226</v>
      </c>
      <c r="EA18" s="77">
        <f t="shared" si="181"/>
        <v>0</v>
      </c>
      <c r="EB18" s="73" t="s">
        <v>8</v>
      </c>
      <c r="EC18" s="26" t="s">
        <v>8</v>
      </c>
      <c r="ED18" s="31">
        <f t="shared" si="182"/>
        <v>0.80882963312831324</v>
      </c>
      <c r="EE18" s="29">
        <f t="shared" si="183"/>
        <v>1.8289311200291536E-2</v>
      </c>
      <c r="EF18" s="30">
        <f t="shared" si="184"/>
        <v>932450.1978375226</v>
      </c>
      <c r="EG18" s="77">
        <f t="shared" si="185"/>
        <v>0</v>
      </c>
      <c r="EH18" s="73" t="s">
        <v>8</v>
      </c>
      <c r="EI18" s="26" t="s">
        <v>8</v>
      </c>
      <c r="EJ18" s="31">
        <f t="shared" si="186"/>
        <v>0.80882963312831324</v>
      </c>
      <c r="EK18" s="29">
        <f t="shared" si="187"/>
        <v>1.8289311200291536E-2</v>
      </c>
      <c r="EL18" s="30">
        <f t="shared" si="188"/>
        <v>932450.1978375226</v>
      </c>
      <c r="EM18" s="77">
        <f t="shared" si="189"/>
        <v>0</v>
      </c>
      <c r="EN18" s="73" t="s">
        <v>8</v>
      </c>
      <c r="EO18" s="26" t="s">
        <v>8</v>
      </c>
      <c r="EP18" s="31">
        <f t="shared" si="190"/>
        <v>0.80882963312831324</v>
      </c>
      <c r="EQ18" s="29">
        <f t="shared" si="191"/>
        <v>1.8289311200291536E-2</v>
      </c>
      <c r="ER18" s="30">
        <f t="shared" si="192"/>
        <v>932450.1978375226</v>
      </c>
      <c r="ES18" s="77">
        <f t="shared" si="193"/>
        <v>0</v>
      </c>
      <c r="ET18" s="73" t="s">
        <v>8</v>
      </c>
      <c r="EU18" s="26" t="s">
        <v>8</v>
      </c>
      <c r="EV18" s="31">
        <f t="shared" si="194"/>
        <v>0.80882963312831324</v>
      </c>
      <c r="EW18" s="29">
        <f t="shared" si="195"/>
        <v>1.8289311200291536E-2</v>
      </c>
      <c r="EX18" s="30">
        <f t="shared" si="196"/>
        <v>932450.1978375226</v>
      </c>
      <c r="EY18" s="77">
        <f t="shared" si="197"/>
        <v>0</v>
      </c>
      <c r="EZ18" s="73" t="s">
        <v>8</v>
      </c>
      <c r="FA18" s="26" t="s">
        <v>8</v>
      </c>
      <c r="FB18" s="31">
        <f t="shared" si="198"/>
        <v>0.80882963312831324</v>
      </c>
      <c r="FC18" s="29">
        <f t="shared" si="199"/>
        <v>1.8289311200291536E-2</v>
      </c>
      <c r="FD18" s="30">
        <f t="shared" si="200"/>
        <v>932450.1978375226</v>
      </c>
      <c r="FE18" s="77">
        <f t="shared" si="201"/>
        <v>0</v>
      </c>
      <c r="FF18" s="73" t="s">
        <v>8</v>
      </c>
      <c r="FG18" s="26" t="s">
        <v>8</v>
      </c>
      <c r="FH18" s="31">
        <f t="shared" si="202"/>
        <v>0.80882963312831324</v>
      </c>
      <c r="FI18" s="29">
        <f t="shared" si="203"/>
        <v>1.8289311200291536E-2</v>
      </c>
      <c r="FJ18" s="30">
        <f t="shared" si="204"/>
        <v>932450.1978375226</v>
      </c>
      <c r="FK18" s="77">
        <f t="shared" si="205"/>
        <v>0</v>
      </c>
      <c r="FL18" s="73" t="s">
        <v>8</v>
      </c>
      <c r="FM18" s="26" t="s">
        <v>8</v>
      </c>
      <c r="FN18" s="31">
        <f t="shared" si="206"/>
        <v>0.80882963312831324</v>
      </c>
      <c r="FO18" s="29">
        <f t="shared" si="207"/>
        <v>1.8289311200291536E-2</v>
      </c>
      <c r="FP18" s="30">
        <f t="shared" si="208"/>
        <v>932450.1978375226</v>
      </c>
      <c r="FQ18" s="77">
        <f t="shared" si="209"/>
        <v>0</v>
      </c>
      <c r="FR18" s="73" t="s">
        <v>8</v>
      </c>
      <c r="FS18" s="26" t="s">
        <v>8</v>
      </c>
      <c r="FT18" s="31">
        <f t="shared" si="210"/>
        <v>0.80882963312831324</v>
      </c>
      <c r="FU18" s="29">
        <f t="shared" si="211"/>
        <v>1.8289311200291536E-2</v>
      </c>
      <c r="FV18" s="30">
        <f t="shared" si="212"/>
        <v>932450.1978375226</v>
      </c>
      <c r="FW18" s="77">
        <f t="shared" si="213"/>
        <v>0</v>
      </c>
      <c r="FX18" s="73" t="s">
        <v>8</v>
      </c>
      <c r="FY18" s="26" t="s">
        <v>8</v>
      </c>
      <c r="FZ18" s="31">
        <f t="shared" si="214"/>
        <v>0.80882963312831324</v>
      </c>
      <c r="GA18" s="29">
        <f t="shared" si="215"/>
        <v>1.8289311200291536E-2</v>
      </c>
      <c r="GB18" s="30">
        <f t="shared" si="216"/>
        <v>932450.1978375226</v>
      </c>
      <c r="GC18" s="77">
        <f t="shared" si="217"/>
        <v>0</v>
      </c>
      <c r="GD18" s="73" t="s">
        <v>8</v>
      </c>
      <c r="GE18" s="26" t="s">
        <v>8</v>
      </c>
      <c r="GF18" s="31">
        <f t="shared" si="218"/>
        <v>0.80882963312831324</v>
      </c>
      <c r="GG18" s="29">
        <f t="shared" si="219"/>
        <v>1.8289311200291536E-2</v>
      </c>
      <c r="GH18" s="30">
        <f t="shared" si="220"/>
        <v>932450.1978375226</v>
      </c>
      <c r="GI18" s="113">
        <f t="shared" si="221"/>
        <v>0</v>
      </c>
      <c r="GJ18" s="147">
        <f t="shared" si="227"/>
        <v>0</v>
      </c>
      <c r="GK18" s="88">
        <f t="shared" si="222"/>
        <v>6002815.4397422373</v>
      </c>
      <c r="GL18" s="168">
        <f>K18+GK18/($H$19/$G$19)/G18/I18</f>
        <v>0.80882963312831313</v>
      </c>
      <c r="GM18" s="88">
        <v>8426794.7100000009</v>
      </c>
      <c r="GN18" s="173">
        <f>GK18-GM18</f>
        <v>-2423979.2702577636</v>
      </c>
    </row>
    <row r="19" spans="1:196" s="25" customFormat="1" ht="16.5" thickBot="1" x14ac:dyDescent="0.3">
      <c r="A19" s="194" t="s">
        <v>6</v>
      </c>
      <c r="B19" s="192">
        <v>31032673</v>
      </c>
      <c r="C19" s="109">
        <v>60</v>
      </c>
      <c r="D19" s="78">
        <f>B19*C19/100</f>
        <v>18619603.800000001</v>
      </c>
      <c r="E19" s="96">
        <f>100-C19</f>
        <v>40</v>
      </c>
      <c r="F19" s="78">
        <f>B19-D19</f>
        <v>12413069.199999999</v>
      </c>
      <c r="G19" s="95">
        <f>SUM(G9:G18)</f>
        <v>26536</v>
      </c>
      <c r="H19" s="95">
        <f>SUM(H9:H18)</f>
        <v>44191993</v>
      </c>
      <c r="I19" s="42" t="s">
        <v>8</v>
      </c>
      <c r="J19" s="154">
        <f>H19/G19</f>
        <v>1665.3600015073862</v>
      </c>
      <c r="K19" s="106" t="s">
        <v>8</v>
      </c>
      <c r="L19" s="75">
        <f>SUM(L9:L18)</f>
        <v>18619603.800000001</v>
      </c>
      <c r="M19" s="71" t="s">
        <v>8</v>
      </c>
      <c r="N19" s="43">
        <f>(SUMIF(M9:M18,"&lt;1")+1)/(COUNTIFS(M9:M18,"&lt;1")+1)</f>
        <v>0.60855721992742651</v>
      </c>
      <c r="O19" s="44" t="s">
        <v>8</v>
      </c>
      <c r="P19" s="41">
        <f>SUM(P9:P18)</f>
        <v>6347662.4662168929</v>
      </c>
      <c r="Q19" s="195">
        <f>SUM(Q9:Q18)</f>
        <v>6347662.4662168929</v>
      </c>
      <c r="R19" s="80">
        <f>F19-Q19</f>
        <v>6065406.7337831063</v>
      </c>
      <c r="S19" s="43">
        <f>(SUMIF(T9:T18,"&lt;1")+1)/(COUNTIFS(T9:T18,"&lt;1")+1)</f>
        <v>0.73489342445291139</v>
      </c>
      <c r="T19" s="44" t="s">
        <v>8</v>
      </c>
      <c r="U19" s="44" t="s">
        <v>8</v>
      </c>
      <c r="V19" s="41">
        <f>SUM(V9:V18)</f>
        <v>4718400.237662849</v>
      </c>
      <c r="W19" s="195">
        <f>SUM(W9:W18)</f>
        <v>4718400.237662849</v>
      </c>
      <c r="X19" s="80">
        <f>R19-W19</f>
        <v>1347006.4961202573</v>
      </c>
      <c r="Y19" s="163">
        <f>(SUMIF(Z9:Z18,"&lt;1")+1)/(COUNTIFS(Z9:Z18,"&lt;1")+1)</f>
        <v>0.80560631189810938</v>
      </c>
      <c r="Z19" s="44" t="s">
        <v>8</v>
      </c>
      <c r="AA19" s="44" t="s">
        <v>8</v>
      </c>
      <c r="AB19" s="41">
        <f>SUM(AB9:AB18)</f>
        <v>2154868.8413832281</v>
      </c>
      <c r="AC19" s="195">
        <f>SUM(AC9:AC18)</f>
        <v>1347006.4961202575</v>
      </c>
      <c r="AD19" s="80">
        <f>X19-AC19</f>
        <v>0</v>
      </c>
      <c r="AE19" s="43">
        <f>(SUMIF(AF9:AF18,"&lt;1")+1)/(COUNTIFS(AF9:AF18,"&lt;1")+1)</f>
        <v>0.82711894432860478</v>
      </c>
      <c r="AF19" s="44" t="s">
        <v>8</v>
      </c>
      <c r="AG19" s="44" t="s">
        <v>8</v>
      </c>
      <c r="AH19" s="41">
        <f>SUM(AH9:AH18)</f>
        <v>2710561.2545099319</v>
      </c>
      <c r="AI19" s="41">
        <f>SUM(AI9:AI18)</f>
        <v>0</v>
      </c>
      <c r="AJ19" s="80">
        <f>AD19-AI19</f>
        <v>0</v>
      </c>
      <c r="AK19" s="43">
        <f>(SUMIF(AL9:AL18,"&lt;1")+1)/(COUNTIFS(AL9:AL18,"&lt;1")+1)</f>
        <v>0.82711894432860478</v>
      </c>
      <c r="AL19" s="44" t="s">
        <v>8</v>
      </c>
      <c r="AM19" s="44" t="s">
        <v>8</v>
      </c>
      <c r="AN19" s="41">
        <f>SUM(AN9:AN18)</f>
        <v>2710561.2545099319</v>
      </c>
      <c r="AO19" s="41">
        <f>SUM(AO9:AO18)</f>
        <v>0</v>
      </c>
      <c r="AP19" s="80">
        <f>AJ19-AO19</f>
        <v>0</v>
      </c>
      <c r="AQ19" s="43">
        <f>(SUMIF(AR9:AR18,"&lt;1")+1)/(COUNTIFS(AR9:AR18,"&lt;1")+1)</f>
        <v>0.82711894432860478</v>
      </c>
      <c r="AR19" s="44" t="s">
        <v>8</v>
      </c>
      <c r="AS19" s="44" t="s">
        <v>8</v>
      </c>
      <c r="AT19" s="41">
        <f>SUM(AT9:AT18)</f>
        <v>2710561.2545099319</v>
      </c>
      <c r="AU19" s="78">
        <f>SUM(AU9:AU18)</f>
        <v>0</v>
      </c>
      <c r="AV19" s="80">
        <f>AP19-AU19</f>
        <v>0</v>
      </c>
      <c r="AW19" s="43">
        <f>(SUMIF(AX9:AX18,"&lt;1")+1)/(COUNTIFS(AX9:AX18,"&lt;1")+1)</f>
        <v>0.82711894432860478</v>
      </c>
      <c r="AX19" s="44" t="s">
        <v>8</v>
      </c>
      <c r="AY19" s="44" t="s">
        <v>8</v>
      </c>
      <c r="AZ19" s="41">
        <f>SUM(AZ9:AZ18)</f>
        <v>2710561.2545099319</v>
      </c>
      <c r="BA19" s="41">
        <f>SUM(BA9:BA18)</f>
        <v>0</v>
      </c>
      <c r="BB19" s="80">
        <f>AV19-BA19</f>
        <v>0</v>
      </c>
      <c r="BC19" s="43">
        <f>(SUMIF(BD9:BD18,"&lt;1")+1)/(COUNTIFS(BD9:BD18,"&lt;1")+1)</f>
        <v>0.82711894432860478</v>
      </c>
      <c r="BD19" s="44" t="s">
        <v>8</v>
      </c>
      <c r="BE19" s="44" t="s">
        <v>8</v>
      </c>
      <c r="BF19" s="41">
        <f>SUM(BF9:BF18)</f>
        <v>2710561.2545099319</v>
      </c>
      <c r="BG19" s="41">
        <f>SUM(BG9:BG18)</f>
        <v>0</v>
      </c>
      <c r="BH19" s="80">
        <f>BB19-BG19</f>
        <v>0</v>
      </c>
      <c r="BI19" s="43">
        <f>(SUMIF(BJ9:BJ18,"&lt;1")+1)/(COUNTIFS(BJ9:BJ18,"&lt;1")+1)</f>
        <v>0.82711894432860478</v>
      </c>
      <c r="BJ19" s="44" t="s">
        <v>8</v>
      </c>
      <c r="BK19" s="44" t="s">
        <v>8</v>
      </c>
      <c r="BL19" s="41">
        <f>SUM(BL9:BL18)</f>
        <v>2710561.2545099319</v>
      </c>
      <c r="BM19" s="41">
        <f>SUM(BM9:BM18)</f>
        <v>0</v>
      </c>
      <c r="BN19" s="80">
        <f>BH19-BM19</f>
        <v>0</v>
      </c>
      <c r="BO19" s="43">
        <f>(SUMIF(BP9:BP18,"&lt;1")+1)/(COUNTIFS(BP9:BP18,"&lt;1")+1)</f>
        <v>0.82711894432860478</v>
      </c>
      <c r="BP19" s="44" t="s">
        <v>8</v>
      </c>
      <c r="BQ19" s="44" t="s">
        <v>8</v>
      </c>
      <c r="BR19" s="41">
        <f>SUM(BR9:BR18)</f>
        <v>2710561.2545099319</v>
      </c>
      <c r="BS19" s="41">
        <f>SUM(BS9:BS18)</f>
        <v>0</v>
      </c>
      <c r="BT19" s="80">
        <f>BN19-BS19</f>
        <v>0</v>
      </c>
      <c r="BU19" s="43">
        <f>(SUMIF(BV9:BV18,"&lt;1")+1)/(COUNTIFS(BV9:BV18,"&lt;1")+1)</f>
        <v>0.82711894432860478</v>
      </c>
      <c r="BV19" s="44" t="s">
        <v>8</v>
      </c>
      <c r="BW19" s="44" t="s">
        <v>8</v>
      </c>
      <c r="BX19" s="41">
        <f>SUM(BX9:BX18)</f>
        <v>2710561.2545099319</v>
      </c>
      <c r="BY19" s="41">
        <f>SUM(BY9:BY18)</f>
        <v>0</v>
      </c>
      <c r="BZ19" s="80">
        <f>BT19-BY19</f>
        <v>0</v>
      </c>
      <c r="CA19" s="43">
        <f>(SUMIF(CB9:CB18,"&lt;1")+1)/(COUNTIFS(CB9:CB18,"&lt;1")+1)</f>
        <v>0.82711894432860478</v>
      </c>
      <c r="CB19" s="44" t="s">
        <v>8</v>
      </c>
      <c r="CC19" s="44" t="s">
        <v>8</v>
      </c>
      <c r="CD19" s="41">
        <f>SUM(CD9:CD18)</f>
        <v>2710561.2545099319</v>
      </c>
      <c r="CE19" s="41">
        <f>SUM(CE9:CE18)</f>
        <v>0</v>
      </c>
      <c r="CF19" s="80">
        <f>BZ19-CE19</f>
        <v>0</v>
      </c>
      <c r="CG19" s="43">
        <f>(SUMIF(CH9:CH18,"&lt;1")+1)/(COUNTIFS(CH9:CH18,"&lt;1")+1)</f>
        <v>0.82711894432860478</v>
      </c>
      <c r="CH19" s="44" t="s">
        <v>8</v>
      </c>
      <c r="CI19" s="44" t="s">
        <v>8</v>
      </c>
      <c r="CJ19" s="41">
        <f>SUM(CJ9:CJ18)</f>
        <v>2710561.2545099319</v>
      </c>
      <c r="CK19" s="41">
        <f>SUM(CK9:CK18)</f>
        <v>0</v>
      </c>
      <c r="CL19" s="80">
        <f>CF19-CK19</f>
        <v>0</v>
      </c>
      <c r="CM19" s="43">
        <f>(SUMIF(CN9:CN18,"&lt;1")+1)/(COUNTIFS(CN9:CN18,"&lt;1")+1)</f>
        <v>0.82711894432860478</v>
      </c>
      <c r="CN19" s="44" t="s">
        <v>8</v>
      </c>
      <c r="CO19" s="44" t="s">
        <v>8</v>
      </c>
      <c r="CP19" s="41">
        <f>SUM(CP9:CP18)</f>
        <v>2710561.2545099319</v>
      </c>
      <c r="CQ19" s="41">
        <f>SUM(CQ9:CQ18)</f>
        <v>0</v>
      </c>
      <c r="CR19" s="80">
        <f>CL19-CQ19</f>
        <v>0</v>
      </c>
      <c r="CS19" s="43">
        <f>(SUMIF(CT9:CT18,"&lt;1")+1)/(COUNTIFS(CT9:CT18,"&lt;1")+1)</f>
        <v>0.82711894432860478</v>
      </c>
      <c r="CT19" s="44" t="s">
        <v>8</v>
      </c>
      <c r="CU19" s="44" t="s">
        <v>8</v>
      </c>
      <c r="CV19" s="41">
        <f>SUM(CV9:CV18)</f>
        <v>2710561.2545099319</v>
      </c>
      <c r="CW19" s="41">
        <f>SUM(CW9:CW18)</f>
        <v>0</v>
      </c>
      <c r="CX19" s="80">
        <f>CR19-CW19</f>
        <v>0</v>
      </c>
      <c r="CY19" s="43">
        <f>(SUMIF(CZ9:CZ18,"&lt;1")+1)/(COUNTIFS(CZ9:CZ18,"&lt;1")+1)</f>
        <v>0.82711894432860478</v>
      </c>
      <c r="CZ19" s="44" t="s">
        <v>8</v>
      </c>
      <c r="DA19" s="44" t="s">
        <v>8</v>
      </c>
      <c r="DB19" s="41">
        <f>SUM(DB9:DB18)</f>
        <v>2710561.2545099319</v>
      </c>
      <c r="DC19" s="41">
        <f>SUM(DC9:DC18)</f>
        <v>0</v>
      </c>
      <c r="DD19" s="80">
        <f>CX19-DC19</f>
        <v>0</v>
      </c>
      <c r="DE19" s="43">
        <f>(SUMIF(DF9:DF18,"&lt;1")+1)/(COUNTIFS(DF9:DF18,"&lt;1")+1)</f>
        <v>0.82711894432860478</v>
      </c>
      <c r="DF19" s="44" t="s">
        <v>8</v>
      </c>
      <c r="DG19" s="44" t="s">
        <v>8</v>
      </c>
      <c r="DH19" s="41">
        <f>SUM(DH9:DH18)</f>
        <v>2710561.2545099319</v>
      </c>
      <c r="DI19" s="41">
        <f>SUM(DI9:DI18)</f>
        <v>0</v>
      </c>
      <c r="DJ19" s="80">
        <f>DD19-DI19</f>
        <v>0</v>
      </c>
      <c r="DK19" s="43">
        <f>(SUMIF(DL9:DL18,"&lt;1")+1)/(COUNTIFS(DL9:DL18,"&lt;1")+1)</f>
        <v>0.82711894432860478</v>
      </c>
      <c r="DL19" s="44" t="s">
        <v>8</v>
      </c>
      <c r="DM19" s="44" t="s">
        <v>8</v>
      </c>
      <c r="DN19" s="41">
        <f>SUM(DN9:DN18)</f>
        <v>2710561.2545099319</v>
      </c>
      <c r="DO19" s="41">
        <f>SUM(DO9:DO18)</f>
        <v>0</v>
      </c>
      <c r="DP19" s="80">
        <f>DJ19-DO19</f>
        <v>0</v>
      </c>
      <c r="DQ19" s="43">
        <f>(SUMIF(DR9:DR18,"&lt;1")+1)/(COUNTIFS(DR9:DR18,"&lt;1")+1)</f>
        <v>0.82711894432860478</v>
      </c>
      <c r="DR19" s="44" t="s">
        <v>8</v>
      </c>
      <c r="DS19" s="44" t="s">
        <v>8</v>
      </c>
      <c r="DT19" s="41">
        <f>SUM(DT9:DT18)</f>
        <v>2710561.2545099319</v>
      </c>
      <c r="DU19" s="41">
        <f>SUM(DU9:DU18)</f>
        <v>0</v>
      </c>
      <c r="DV19" s="80">
        <f>DP19-DU19</f>
        <v>0</v>
      </c>
      <c r="DW19" s="43">
        <f>(SUMIF(DX9:DX18,"&lt;1")+1)/(COUNTIFS(DX9:DX18,"&lt;1")+1)</f>
        <v>0.82711894432860478</v>
      </c>
      <c r="DX19" s="44" t="s">
        <v>8</v>
      </c>
      <c r="DY19" s="44" t="s">
        <v>8</v>
      </c>
      <c r="DZ19" s="135">
        <f>SUM(DZ9:DZ18)</f>
        <v>2710561.2545099319</v>
      </c>
      <c r="EA19" s="41">
        <f>SUM(EA9:EA18)</f>
        <v>0</v>
      </c>
      <c r="EB19" s="80">
        <f>DV19-EA19</f>
        <v>0</v>
      </c>
      <c r="EC19" s="43">
        <f>(SUMIF(ED9:ED18,"&lt;1")+1)/(COUNTIFS(ED9:ED18,"&lt;1")+1)</f>
        <v>0.82711894432860478</v>
      </c>
      <c r="ED19" s="44" t="s">
        <v>8</v>
      </c>
      <c r="EE19" s="44" t="s">
        <v>8</v>
      </c>
      <c r="EF19" s="135">
        <f>SUM(EF9:EF18)</f>
        <v>2710561.2545099319</v>
      </c>
      <c r="EG19" s="41">
        <f>SUM(EG9:EG18)</f>
        <v>0</v>
      </c>
      <c r="EH19" s="80">
        <f>EB19-EG19</f>
        <v>0</v>
      </c>
      <c r="EI19" s="43">
        <f>(SUMIF(EJ9:EJ18,"&lt;1")+1)/(COUNTIFS(EJ9:EJ18,"&lt;1")+1)</f>
        <v>0.82711894432860478</v>
      </c>
      <c r="EJ19" s="44" t="s">
        <v>8</v>
      </c>
      <c r="EK19" s="44" t="s">
        <v>8</v>
      </c>
      <c r="EL19" s="135">
        <f>SUM(EL9:EL18)</f>
        <v>2710561.2545099319</v>
      </c>
      <c r="EM19" s="41">
        <f>SUM(EM9:EM18)</f>
        <v>0</v>
      </c>
      <c r="EN19" s="80">
        <f>EH19-EM19</f>
        <v>0</v>
      </c>
      <c r="EO19" s="43">
        <f>(SUMIF(EP9:EP18,"&lt;1")+1)/(COUNTIFS(EP9:EP18,"&lt;1")+1)</f>
        <v>0.82711894432860478</v>
      </c>
      <c r="EP19" s="44" t="s">
        <v>8</v>
      </c>
      <c r="EQ19" s="44" t="s">
        <v>8</v>
      </c>
      <c r="ER19" s="135">
        <f>SUM(ER9:ER18)</f>
        <v>2710561.2545099319</v>
      </c>
      <c r="ES19" s="41">
        <f>SUM(ES9:ES18)</f>
        <v>0</v>
      </c>
      <c r="ET19" s="80">
        <f>EN19-ES19</f>
        <v>0</v>
      </c>
      <c r="EU19" s="43">
        <f>(SUMIF(EV9:EV18,"&lt;1")+1)/(COUNTIFS(EV9:EV18,"&lt;1")+1)</f>
        <v>0.82711894432860478</v>
      </c>
      <c r="EV19" s="44" t="s">
        <v>8</v>
      </c>
      <c r="EW19" s="44" t="s">
        <v>8</v>
      </c>
      <c r="EX19" s="135">
        <f>SUM(EX9:EX18)</f>
        <v>2710561.2545099319</v>
      </c>
      <c r="EY19" s="41">
        <f>SUM(EY9:EY18)</f>
        <v>0</v>
      </c>
      <c r="EZ19" s="80">
        <f>ET19-EY19</f>
        <v>0</v>
      </c>
      <c r="FA19" s="43">
        <f>(SUMIF(FB9:FB18,"&lt;1")+1)/(COUNTIFS(FB9:FB18,"&lt;1")+1)</f>
        <v>0.82711894432860478</v>
      </c>
      <c r="FB19" s="44" t="s">
        <v>8</v>
      </c>
      <c r="FC19" s="44" t="s">
        <v>8</v>
      </c>
      <c r="FD19" s="135">
        <f>SUM(FD9:FD18)</f>
        <v>2710561.2545099319</v>
      </c>
      <c r="FE19" s="41">
        <f>SUM(FE9:FE18)</f>
        <v>0</v>
      </c>
      <c r="FF19" s="80">
        <f>EZ19-FE19</f>
        <v>0</v>
      </c>
      <c r="FG19" s="43">
        <f>(SUMIF(FH9:FH18,"&lt;1")+1)/(COUNTIFS(FH9:FH18,"&lt;1")+1)</f>
        <v>0.82711894432860478</v>
      </c>
      <c r="FH19" s="44" t="s">
        <v>8</v>
      </c>
      <c r="FI19" s="44" t="s">
        <v>8</v>
      </c>
      <c r="FJ19" s="135">
        <f>SUM(FJ9:FJ18)</f>
        <v>2710561.2545099319</v>
      </c>
      <c r="FK19" s="41">
        <f>SUM(FK9:FK18)</f>
        <v>0</v>
      </c>
      <c r="FL19" s="80">
        <f>FF19-FK19</f>
        <v>0</v>
      </c>
      <c r="FM19" s="43">
        <f>(SUMIF(FN9:FN18,"&lt;1")+1)/(COUNTIFS(FN9:FN18,"&lt;1")+1)</f>
        <v>0.82711894432860478</v>
      </c>
      <c r="FN19" s="44" t="s">
        <v>8</v>
      </c>
      <c r="FO19" s="44" t="s">
        <v>8</v>
      </c>
      <c r="FP19" s="135">
        <f>SUM(FP9:FP18)</f>
        <v>2710561.2545099319</v>
      </c>
      <c r="FQ19" s="41">
        <f>SUM(FQ9:FQ18)</f>
        <v>0</v>
      </c>
      <c r="FR19" s="80">
        <f>FL19-FQ19</f>
        <v>0</v>
      </c>
      <c r="FS19" s="43">
        <f>(SUMIF(FT9:FT18,"&lt;1")+1)/(COUNTIFS(FT9:FT18,"&lt;1")+1)</f>
        <v>0.82711894432860478</v>
      </c>
      <c r="FT19" s="44" t="s">
        <v>8</v>
      </c>
      <c r="FU19" s="44" t="s">
        <v>8</v>
      </c>
      <c r="FV19" s="135">
        <f>SUM(FV9:FV18)</f>
        <v>2710561.2545099319</v>
      </c>
      <c r="FW19" s="41">
        <f>SUM(FW9:FW18)</f>
        <v>0</v>
      </c>
      <c r="FX19" s="80">
        <f>FR19-FW19</f>
        <v>0</v>
      </c>
      <c r="FY19" s="43">
        <f>(SUMIF(FZ9:FZ18,"&lt;1")+1)/(COUNTIFS(FZ9:FZ18,"&lt;1")+1)</f>
        <v>0.82711894432860478</v>
      </c>
      <c r="FZ19" s="44" t="s">
        <v>8</v>
      </c>
      <c r="GA19" s="44" t="s">
        <v>8</v>
      </c>
      <c r="GB19" s="135">
        <f>SUM(GB9:GB18)</f>
        <v>2710561.2545099319</v>
      </c>
      <c r="GC19" s="41">
        <f>SUM(GC9:GC18)</f>
        <v>0</v>
      </c>
      <c r="GD19" s="80">
        <f>FX19-GC19</f>
        <v>0</v>
      </c>
      <c r="GE19" s="43">
        <f>(SUMIF(GF9:GF18,"&lt;1")+1)/(COUNTIFS(GF9:GF18,"&lt;1")+1)</f>
        <v>0.82711894432860478</v>
      </c>
      <c r="GF19" s="44" t="s">
        <v>8</v>
      </c>
      <c r="GG19" s="44" t="s">
        <v>8</v>
      </c>
      <c r="GH19" s="135">
        <f>SUM(GH9:GH18)</f>
        <v>2710561.2545099319</v>
      </c>
      <c r="GI19" s="41">
        <f>SUM(GI9:GI18)</f>
        <v>0</v>
      </c>
      <c r="GJ19" s="160">
        <f>SUM(GJ9:GJ18)</f>
        <v>12413069.199999999</v>
      </c>
      <c r="GK19" s="162">
        <f t="shared" si="222"/>
        <v>31032673</v>
      </c>
      <c r="GL19" s="169" t="s">
        <v>8</v>
      </c>
      <c r="GM19" s="162">
        <f>SUM(GM9:GM18)</f>
        <v>35222836.999999993</v>
      </c>
      <c r="GN19" s="173">
        <f>SUM(GN9:GN18)</f>
        <v>-4190164.0100000012</v>
      </c>
    </row>
    <row r="21" spans="1:196" x14ac:dyDescent="0.2">
      <c r="P21" s="20"/>
    </row>
    <row r="23" spans="1:196" x14ac:dyDescent="0.2">
      <c r="GJ23" s="114"/>
      <c r="GK23" s="114"/>
      <c r="GM23" s="114"/>
    </row>
    <row r="24" spans="1:196" x14ac:dyDescent="0.2">
      <c r="M24" s="19"/>
      <c r="Q24" s="114"/>
    </row>
  </sheetData>
  <protectedRanges>
    <protectedRange sqref="A9:A18" name="Диапазон3"/>
    <protectedRange sqref="A9:A18" name="Диапазон2"/>
  </protectedRanges>
  <mergeCells count="51">
    <mergeCell ref="B1:GK1"/>
    <mergeCell ref="GN3:GN5"/>
    <mergeCell ref="FX4:GC4"/>
    <mergeCell ref="GD4:GI4"/>
    <mergeCell ref="ET4:EY4"/>
    <mergeCell ref="EZ4:FE4"/>
    <mergeCell ref="FF4:FK4"/>
    <mergeCell ref="FL4:FQ4"/>
    <mergeCell ref="FR4:FW4"/>
    <mergeCell ref="GK3:GK5"/>
    <mergeCell ref="GJ3:GJ5"/>
    <mergeCell ref="GL3:GL5"/>
    <mergeCell ref="GM3:GM5"/>
    <mergeCell ref="DP4:DU4"/>
    <mergeCell ref="DV4:EA4"/>
    <mergeCell ref="EB4:EG4"/>
    <mergeCell ref="EH4:EM4"/>
    <mergeCell ref="EN4:ES4"/>
    <mergeCell ref="CL4:CQ4"/>
    <mergeCell ref="CR4:CW4"/>
    <mergeCell ref="CX4:DC4"/>
    <mergeCell ref="DD4:DI4"/>
    <mergeCell ref="DJ4:DO4"/>
    <mergeCell ref="A3:A6"/>
    <mergeCell ref="B3:B5"/>
    <mergeCell ref="C3:F3"/>
    <mergeCell ref="C5:D5"/>
    <mergeCell ref="E5:F5"/>
    <mergeCell ref="C4:D4"/>
    <mergeCell ref="E4:F4"/>
    <mergeCell ref="G4:G5"/>
    <mergeCell ref="H4:H5"/>
    <mergeCell ref="M4:Q4"/>
    <mergeCell ref="L4:L5"/>
    <mergeCell ref="I4:I5"/>
    <mergeCell ref="BT4:BY4"/>
    <mergeCell ref="BZ4:CE4"/>
    <mergeCell ref="CF4:CK4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BH4:BM4"/>
  </mergeCells>
  <printOptions horizontalCentered="1" verticalCentered="1"/>
  <pageMargins left="7.874015748031496E-2" right="0" top="0.78740157480314965" bottom="0.74803149606299213" header="0.74803149606299213" footer="0.23622047244094491"/>
  <pageSetup paperSize="9" scale="53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2022-10-13T05:28:20Z</cp:lastPrinted>
  <dcterms:created xsi:type="dcterms:W3CDTF">2013-11-15T09:40:24Z</dcterms:created>
  <dcterms:modified xsi:type="dcterms:W3CDTF">2022-11-18T02:59:58Z</dcterms:modified>
</cp:coreProperties>
</file>